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sam computer/"/>
    </mc:Choice>
  </mc:AlternateContent>
  <bookViews>
    <workbookView xWindow="0" yWindow="0" windowWidth="28800" windowHeight="11310"/>
  </bookViews>
  <sheets>
    <sheet name="summary" sheetId="4" r:id="rId1"/>
    <sheet name="21 may 2017" sheetId="15" r:id="rId2"/>
    <sheet name="1st to 3rd april 2017" sheetId="14" r:id="rId3"/>
    <sheet name="18 to 19 mar 2017" sheetId="13" r:id="rId4"/>
    <sheet name="04 to 05 mar 2017" sheetId="12" r:id="rId5"/>
    <sheet name="11 to 13 feb 2017" sheetId="11" r:id="rId6"/>
    <sheet name="04 to 05 feb 2017" sheetId="10" r:id="rId7"/>
    <sheet name="31 jan to 01 feb 17" sheetId="9" r:id="rId8"/>
    <sheet name="09 to 12 dec 2016" sheetId="8" r:id="rId9"/>
    <sheet name="03 to 05 dec 2016" sheetId="7" r:id="rId10"/>
    <sheet name="26 to 27 Nov 2016" sheetId="6" r:id="rId11"/>
    <sheet name="19 to 21 Nov 2016" sheetId="5" r:id="rId12"/>
    <sheet name="05 to 07 Nov 2016" sheetId="3" r:id="rId13"/>
    <sheet name="21 to 24 Oct 16" sheetId="2" r:id="rId14"/>
    <sheet name="14 to 17 Oct 16" sheetId="1" r:id="rId15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4" l="1"/>
  <c r="K16" i="4"/>
  <c r="K15" i="4"/>
  <c r="K14" i="4"/>
  <c r="K13" i="4"/>
  <c r="K12" i="4"/>
  <c r="K11" i="4"/>
  <c r="K10" i="4"/>
  <c r="K9" i="4"/>
  <c r="K8" i="4"/>
  <c r="K7" i="4"/>
  <c r="K6" i="4"/>
  <c r="K5" i="4"/>
  <c r="K4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C4" i="4"/>
  <c r="H4" i="4"/>
  <c r="C5" i="4"/>
  <c r="H5" i="4"/>
  <c r="C6" i="4"/>
  <c r="H6" i="4"/>
  <c r="C7" i="4"/>
  <c r="H7" i="4"/>
  <c r="C8" i="4"/>
  <c r="H8" i="4"/>
  <c r="C9" i="4"/>
  <c r="H9" i="4"/>
  <c r="C10" i="4"/>
  <c r="H10" i="4"/>
  <c r="C11" i="4"/>
  <c r="H11" i="4"/>
  <c r="C12" i="4"/>
  <c r="H12" i="4"/>
  <c r="C13" i="4"/>
  <c r="H13" i="4"/>
  <c r="C14" i="4"/>
  <c r="H14" i="4"/>
  <c r="C15" i="4"/>
  <c r="H15" i="4"/>
  <c r="C16" i="4"/>
  <c r="H16" i="4"/>
  <c r="C17" i="4"/>
  <c r="H17" i="4"/>
  <c r="G17" i="4"/>
  <c r="Q12" i="15"/>
  <c r="Q14" i="15"/>
  <c r="Q13" i="15"/>
  <c r="Q9" i="15"/>
  <c r="Q8" i="15"/>
  <c r="Q6" i="15"/>
  <c r="Q11" i="15"/>
  <c r="Q15" i="15"/>
  <c r="S7" i="15"/>
  <c r="S8" i="15"/>
  <c r="S9" i="15"/>
  <c r="S10" i="15"/>
  <c r="S11" i="15"/>
  <c r="S12" i="15"/>
  <c r="S13" i="15"/>
  <c r="S14" i="15"/>
  <c r="S15" i="15"/>
  <c r="S6" i="15"/>
  <c r="J17" i="4"/>
  <c r="G16" i="4"/>
  <c r="S12" i="14"/>
  <c r="S15" i="14"/>
  <c r="S14" i="14"/>
  <c r="S13" i="14"/>
  <c r="S11" i="14"/>
  <c r="S10" i="14"/>
  <c r="S9" i="14"/>
  <c r="S8" i="14"/>
  <c r="S7" i="14"/>
  <c r="S6" i="14"/>
  <c r="Q6" i="14"/>
  <c r="Q11" i="14"/>
  <c r="Q9" i="14"/>
  <c r="Q13" i="14"/>
  <c r="Q15" i="14"/>
  <c r="E29" i="15"/>
  <c r="E28" i="15"/>
  <c r="E24" i="15"/>
  <c r="E23" i="15"/>
  <c r="X6" i="15"/>
  <c r="X7" i="15"/>
  <c r="X8" i="15"/>
  <c r="X9" i="15"/>
  <c r="X10" i="15"/>
  <c r="X11" i="15"/>
  <c r="X12" i="15"/>
  <c r="X13" i="15"/>
  <c r="X14" i="15"/>
  <c r="X15" i="15"/>
  <c r="X17" i="15"/>
  <c r="J15" i="15"/>
  <c r="I15" i="15"/>
  <c r="H15" i="15"/>
  <c r="J14" i="15"/>
  <c r="I14" i="15"/>
  <c r="H14" i="15"/>
  <c r="J13" i="15"/>
  <c r="I13" i="15"/>
  <c r="H13" i="15"/>
  <c r="J12" i="15"/>
  <c r="I12" i="15"/>
  <c r="H12" i="15"/>
  <c r="J11" i="15"/>
  <c r="I11" i="15"/>
  <c r="H11" i="15"/>
  <c r="J10" i="15"/>
  <c r="I10" i="15"/>
  <c r="H10" i="15"/>
  <c r="J9" i="15"/>
  <c r="I9" i="15"/>
  <c r="H9" i="15"/>
  <c r="J8" i="15"/>
  <c r="I8" i="15"/>
  <c r="H8" i="15"/>
  <c r="J7" i="15"/>
  <c r="I7" i="15"/>
  <c r="H7" i="15"/>
  <c r="J6" i="15"/>
  <c r="I6" i="15"/>
  <c r="H6" i="15"/>
  <c r="H15" i="14"/>
  <c r="I15" i="14"/>
  <c r="J15" i="14"/>
  <c r="X15" i="14"/>
  <c r="S6" i="13"/>
  <c r="S7" i="13"/>
  <c r="S8" i="13"/>
  <c r="S9" i="13"/>
  <c r="S10" i="13"/>
  <c r="S11" i="13"/>
  <c r="S12" i="13"/>
  <c r="S13" i="13"/>
  <c r="S14" i="13"/>
  <c r="E24" i="13"/>
  <c r="S6" i="12"/>
  <c r="S7" i="12"/>
  <c r="S8" i="12"/>
  <c r="S9" i="12"/>
  <c r="S10" i="12"/>
  <c r="S11" i="12"/>
  <c r="S12" i="12"/>
  <c r="S13" i="12"/>
  <c r="S14" i="12"/>
  <c r="E24" i="12"/>
  <c r="S6" i="11"/>
  <c r="S7" i="11"/>
  <c r="S8" i="11"/>
  <c r="S9" i="11"/>
  <c r="S10" i="11"/>
  <c r="S11" i="11"/>
  <c r="S12" i="11"/>
  <c r="S13" i="11"/>
  <c r="S14" i="11"/>
  <c r="E24" i="11"/>
  <c r="S6" i="10"/>
  <c r="S7" i="10"/>
  <c r="S8" i="10"/>
  <c r="S9" i="10"/>
  <c r="S10" i="10"/>
  <c r="S11" i="10"/>
  <c r="S12" i="10"/>
  <c r="S13" i="10"/>
  <c r="S14" i="10"/>
  <c r="S15" i="10"/>
  <c r="E24" i="10"/>
  <c r="S6" i="9"/>
  <c r="S7" i="9"/>
  <c r="S8" i="9"/>
  <c r="S9" i="9"/>
  <c r="S10" i="9"/>
  <c r="S11" i="9"/>
  <c r="S12" i="9"/>
  <c r="S13" i="9"/>
  <c r="S14" i="9"/>
  <c r="S15" i="9"/>
  <c r="E24" i="9"/>
  <c r="S6" i="8"/>
  <c r="S7" i="8"/>
  <c r="S8" i="8"/>
  <c r="S9" i="8"/>
  <c r="S10" i="8"/>
  <c r="S11" i="8"/>
  <c r="S12" i="8"/>
  <c r="S13" i="8"/>
  <c r="S14" i="8"/>
  <c r="S15" i="8"/>
  <c r="E24" i="8"/>
  <c r="S6" i="7"/>
  <c r="S7" i="7"/>
  <c r="S8" i="7"/>
  <c r="S9" i="7"/>
  <c r="S10" i="7"/>
  <c r="S11" i="7"/>
  <c r="S12" i="7"/>
  <c r="S13" i="7"/>
  <c r="E24" i="7"/>
  <c r="S6" i="6"/>
  <c r="S7" i="6"/>
  <c r="S8" i="6"/>
  <c r="S9" i="6"/>
  <c r="S10" i="6"/>
  <c r="S11" i="6"/>
  <c r="S12" i="6"/>
  <c r="S13" i="6"/>
  <c r="S14" i="6"/>
  <c r="S15" i="6"/>
  <c r="E24" i="6"/>
  <c r="S6" i="5"/>
  <c r="S7" i="5"/>
  <c r="S8" i="5"/>
  <c r="S9" i="5"/>
  <c r="S10" i="5"/>
  <c r="S11" i="5"/>
  <c r="S12" i="5"/>
  <c r="S13" i="5"/>
  <c r="S14" i="5"/>
  <c r="S15" i="5"/>
  <c r="E24" i="5"/>
  <c r="S6" i="3"/>
  <c r="S7" i="3"/>
  <c r="S8" i="3"/>
  <c r="S9" i="3"/>
  <c r="S10" i="3"/>
  <c r="S11" i="3"/>
  <c r="S12" i="3"/>
  <c r="S13" i="3"/>
  <c r="S14" i="3"/>
  <c r="S15" i="3"/>
  <c r="E24" i="3"/>
  <c r="S6" i="1"/>
  <c r="S7" i="1"/>
  <c r="S8" i="1"/>
  <c r="S9" i="1"/>
  <c r="S10" i="1"/>
  <c r="S11" i="1"/>
  <c r="S12" i="1"/>
  <c r="S13" i="1"/>
  <c r="E24" i="1"/>
  <c r="E29" i="13"/>
  <c r="L15" i="4"/>
  <c r="Q6" i="1"/>
  <c r="Q8" i="1"/>
  <c r="Q10" i="1"/>
  <c r="Q11" i="1"/>
  <c r="Q12" i="1"/>
  <c r="Q14" i="1"/>
  <c r="Q15" i="1"/>
  <c r="E23" i="1"/>
  <c r="Q6" i="2"/>
  <c r="Q8" i="2"/>
  <c r="Q9" i="2"/>
  <c r="Q10" i="2"/>
  <c r="Q12" i="2"/>
  <c r="Q13" i="2"/>
  <c r="E23" i="2"/>
  <c r="Q6" i="3"/>
  <c r="Q7" i="3"/>
  <c r="Q8" i="3"/>
  <c r="Q9" i="3"/>
  <c r="Q10" i="3"/>
  <c r="Q11" i="3"/>
  <c r="Q12" i="3"/>
  <c r="Q13" i="3"/>
  <c r="Q14" i="3"/>
  <c r="Q15" i="3"/>
  <c r="E23" i="3"/>
  <c r="Q6" i="5"/>
  <c r="Q7" i="5"/>
  <c r="Q8" i="5"/>
  <c r="Q9" i="5"/>
  <c r="Q10" i="5"/>
  <c r="Q11" i="5"/>
  <c r="Q12" i="5"/>
  <c r="Q14" i="5"/>
  <c r="Q15" i="5"/>
  <c r="E23" i="5"/>
  <c r="Q6" i="6"/>
  <c r="Q7" i="6"/>
  <c r="Q8" i="6"/>
  <c r="Q9" i="6"/>
  <c r="Q10" i="6"/>
  <c r="Q11" i="6"/>
  <c r="Q12" i="6"/>
  <c r="Q13" i="6"/>
  <c r="Q14" i="6"/>
  <c r="Q15" i="6"/>
  <c r="E23" i="6"/>
  <c r="Q6" i="7"/>
  <c r="Q8" i="7"/>
  <c r="Q9" i="7"/>
  <c r="Q10" i="7"/>
  <c r="Q12" i="7"/>
  <c r="E23" i="7"/>
  <c r="Q6" i="8"/>
  <c r="Q8" i="8"/>
  <c r="Q9" i="8"/>
  <c r="Q11" i="8"/>
  <c r="Q12" i="8"/>
  <c r="Q13" i="8"/>
  <c r="Q14" i="8"/>
  <c r="Q15" i="8"/>
  <c r="E23" i="8"/>
  <c r="Q7" i="9"/>
  <c r="Q8" i="9"/>
  <c r="Q9" i="9"/>
  <c r="Q10" i="9"/>
  <c r="Q11" i="9"/>
  <c r="Q12" i="9"/>
  <c r="Q13" i="9"/>
  <c r="Q14" i="9"/>
  <c r="E23" i="9"/>
  <c r="Q6" i="10"/>
  <c r="Q7" i="10"/>
  <c r="Q8" i="10"/>
  <c r="Q9" i="10"/>
  <c r="Q12" i="10"/>
  <c r="Q13" i="10"/>
  <c r="Q15" i="10"/>
  <c r="E23" i="10"/>
  <c r="Q6" i="11"/>
  <c r="Q7" i="11"/>
  <c r="Q8" i="11"/>
  <c r="Q9" i="11"/>
  <c r="Q10" i="11"/>
  <c r="Q12" i="11"/>
  <c r="Q13" i="11"/>
  <c r="Q14" i="11"/>
  <c r="E23" i="11"/>
  <c r="Q6" i="12"/>
  <c r="Q7" i="12"/>
  <c r="Q8" i="12"/>
  <c r="Q10" i="12"/>
  <c r="Q11" i="12"/>
  <c r="Q12" i="12"/>
  <c r="Q13" i="12"/>
  <c r="Q14" i="12"/>
  <c r="E23" i="12"/>
  <c r="Q6" i="13"/>
  <c r="Q7" i="13"/>
  <c r="Q8" i="13"/>
  <c r="Q10" i="13"/>
  <c r="Q11" i="13"/>
  <c r="Q12" i="13"/>
  <c r="Q13" i="13"/>
  <c r="Q14" i="13"/>
  <c r="E23" i="13"/>
  <c r="X6" i="13"/>
  <c r="X7" i="13"/>
  <c r="X8" i="13"/>
  <c r="X9" i="13"/>
  <c r="X10" i="13"/>
  <c r="X11" i="13"/>
  <c r="X12" i="13"/>
  <c r="X13" i="13"/>
  <c r="X14" i="13"/>
  <c r="X15" i="13"/>
  <c r="X17" i="13"/>
  <c r="G15" i="4"/>
  <c r="E28" i="13"/>
  <c r="D15" i="4"/>
  <c r="J16" i="4"/>
  <c r="E29" i="14"/>
  <c r="E28" i="14"/>
  <c r="E24" i="14"/>
  <c r="E23" i="14"/>
  <c r="X6" i="14"/>
  <c r="X7" i="14"/>
  <c r="X8" i="14"/>
  <c r="X9" i="14"/>
  <c r="X10" i="14"/>
  <c r="X11" i="14"/>
  <c r="X12" i="14"/>
  <c r="X13" i="14"/>
  <c r="X14" i="14"/>
  <c r="X17" i="14"/>
  <c r="J14" i="14"/>
  <c r="I14" i="14"/>
  <c r="H14" i="14"/>
  <c r="J13" i="14"/>
  <c r="I13" i="14"/>
  <c r="H13" i="14"/>
  <c r="J12" i="14"/>
  <c r="I12" i="14"/>
  <c r="H12" i="14"/>
  <c r="J11" i="14"/>
  <c r="I11" i="14"/>
  <c r="H11" i="14"/>
  <c r="J10" i="14"/>
  <c r="I10" i="14"/>
  <c r="H10" i="14"/>
  <c r="J9" i="14"/>
  <c r="I9" i="14"/>
  <c r="H9" i="14"/>
  <c r="J8" i="14"/>
  <c r="I8" i="14"/>
  <c r="H8" i="14"/>
  <c r="J7" i="14"/>
  <c r="I7" i="14"/>
  <c r="H7" i="14"/>
  <c r="J6" i="14"/>
  <c r="I6" i="14"/>
  <c r="H6" i="14"/>
  <c r="J14" i="13"/>
  <c r="I14" i="13"/>
  <c r="H14" i="13"/>
  <c r="J13" i="13"/>
  <c r="I13" i="13"/>
  <c r="H13" i="13"/>
  <c r="J12" i="13"/>
  <c r="I12" i="13"/>
  <c r="H12" i="13"/>
  <c r="J11" i="13"/>
  <c r="I11" i="13"/>
  <c r="H11" i="13"/>
  <c r="J10" i="13"/>
  <c r="I10" i="13"/>
  <c r="H10" i="13"/>
  <c r="J9" i="13"/>
  <c r="I9" i="13"/>
  <c r="H9" i="13"/>
  <c r="J8" i="13"/>
  <c r="I8" i="13"/>
  <c r="H8" i="13"/>
  <c r="J7" i="13"/>
  <c r="I7" i="13"/>
  <c r="H7" i="13"/>
  <c r="J6" i="13"/>
  <c r="I6" i="13"/>
  <c r="H6" i="13"/>
  <c r="J15" i="4"/>
  <c r="E28" i="1"/>
  <c r="D4" i="4"/>
  <c r="E28" i="2"/>
  <c r="D5" i="4"/>
  <c r="E28" i="3"/>
  <c r="D6" i="4"/>
  <c r="E28" i="5"/>
  <c r="D7" i="4"/>
  <c r="E28" i="6"/>
  <c r="D8" i="4"/>
  <c r="E28" i="7"/>
  <c r="D9" i="4"/>
  <c r="E28" i="8"/>
  <c r="D10" i="4"/>
  <c r="E28" i="9"/>
  <c r="D11" i="4"/>
  <c r="E28" i="10"/>
  <c r="D12" i="4"/>
  <c r="E28" i="11"/>
  <c r="D13" i="4"/>
  <c r="E28" i="12"/>
  <c r="D14" i="4"/>
  <c r="D20" i="4"/>
  <c r="E29" i="1"/>
  <c r="L4" i="4"/>
  <c r="S6" i="2"/>
  <c r="S7" i="2"/>
  <c r="S8" i="2"/>
  <c r="S9" i="2"/>
  <c r="S10" i="2"/>
  <c r="S11" i="2"/>
  <c r="S12" i="2"/>
  <c r="S13" i="2"/>
  <c r="E29" i="2"/>
  <c r="L5" i="4"/>
  <c r="E29" i="3"/>
  <c r="L6" i="4"/>
  <c r="E29" i="5"/>
  <c r="L7" i="4"/>
  <c r="E29" i="6"/>
  <c r="L8" i="4"/>
  <c r="E29" i="7"/>
  <c r="L9" i="4"/>
  <c r="E29" i="8"/>
  <c r="L10" i="4"/>
  <c r="E29" i="9"/>
  <c r="L11" i="4"/>
  <c r="E29" i="10"/>
  <c r="L12" i="4"/>
  <c r="E29" i="11"/>
  <c r="L13" i="4"/>
  <c r="E29" i="12"/>
  <c r="L14" i="4"/>
  <c r="L20" i="4"/>
  <c r="E6" i="4"/>
  <c r="E7" i="4"/>
  <c r="E8" i="4"/>
  <c r="E20" i="4"/>
  <c r="M20" i="4"/>
  <c r="D39" i="4"/>
  <c r="D41" i="4"/>
  <c r="C20" i="4"/>
  <c r="K20" i="4"/>
  <c r="D38" i="4"/>
  <c r="X6" i="1"/>
  <c r="X7" i="1"/>
  <c r="X8" i="1"/>
  <c r="X9" i="1"/>
  <c r="X10" i="1"/>
  <c r="X11" i="1"/>
  <c r="X12" i="1"/>
  <c r="X13" i="1"/>
  <c r="X14" i="1"/>
  <c r="X15" i="1"/>
  <c r="X17" i="1"/>
  <c r="G4" i="4"/>
  <c r="X6" i="2"/>
  <c r="X7" i="2"/>
  <c r="X8" i="2"/>
  <c r="X9" i="2"/>
  <c r="X10" i="2"/>
  <c r="X11" i="2"/>
  <c r="X12" i="2"/>
  <c r="P13" i="2"/>
  <c r="X13" i="2"/>
  <c r="X14" i="2"/>
  <c r="X15" i="2"/>
  <c r="X17" i="2"/>
  <c r="G5" i="4"/>
  <c r="X6" i="3"/>
  <c r="P7" i="3"/>
  <c r="X7" i="3"/>
  <c r="P8" i="3"/>
  <c r="X8" i="3"/>
  <c r="X9" i="3"/>
  <c r="X10" i="3"/>
  <c r="X11" i="3"/>
  <c r="X12" i="3"/>
  <c r="X13" i="3"/>
  <c r="X14" i="3"/>
  <c r="X15" i="3"/>
  <c r="X17" i="3"/>
  <c r="G6" i="4"/>
  <c r="X6" i="5"/>
  <c r="X7" i="5"/>
  <c r="X8" i="5"/>
  <c r="X9" i="5"/>
  <c r="X10" i="5"/>
  <c r="X11" i="5"/>
  <c r="X12" i="5"/>
  <c r="X13" i="5"/>
  <c r="X14" i="5"/>
  <c r="X15" i="5"/>
  <c r="X17" i="5"/>
  <c r="G7" i="4"/>
  <c r="X6" i="6"/>
  <c r="X7" i="6"/>
  <c r="X8" i="6"/>
  <c r="X9" i="6"/>
  <c r="X10" i="6"/>
  <c r="X11" i="6"/>
  <c r="X12" i="6"/>
  <c r="X13" i="6"/>
  <c r="X14" i="6"/>
  <c r="X15" i="6"/>
  <c r="X17" i="6"/>
  <c r="G8" i="4"/>
  <c r="X6" i="7"/>
  <c r="X7" i="7"/>
  <c r="X8" i="7"/>
  <c r="X9" i="7"/>
  <c r="X10" i="7"/>
  <c r="X11" i="7"/>
  <c r="X12" i="7"/>
  <c r="X13" i="7"/>
  <c r="X14" i="7"/>
  <c r="X15" i="7"/>
  <c r="X17" i="7"/>
  <c r="G9" i="4"/>
  <c r="X6" i="8"/>
  <c r="X7" i="8"/>
  <c r="X8" i="8"/>
  <c r="X9" i="8"/>
  <c r="X10" i="8"/>
  <c r="X11" i="8"/>
  <c r="X12" i="8"/>
  <c r="X13" i="8"/>
  <c r="X14" i="8"/>
  <c r="X15" i="8"/>
  <c r="X17" i="8"/>
  <c r="G10" i="4"/>
  <c r="X6" i="9"/>
  <c r="X7" i="9"/>
  <c r="X8" i="9"/>
  <c r="X9" i="9"/>
  <c r="X10" i="9"/>
  <c r="X11" i="9"/>
  <c r="X12" i="9"/>
  <c r="X13" i="9"/>
  <c r="X14" i="9"/>
  <c r="X15" i="9"/>
  <c r="X17" i="9"/>
  <c r="G11" i="4"/>
  <c r="X6" i="10"/>
  <c r="X7" i="10"/>
  <c r="X8" i="10"/>
  <c r="X9" i="10"/>
  <c r="X10" i="10"/>
  <c r="X11" i="10"/>
  <c r="X12" i="10"/>
  <c r="X13" i="10"/>
  <c r="X14" i="10"/>
  <c r="X15" i="10"/>
  <c r="X17" i="10"/>
  <c r="G12" i="4"/>
  <c r="X6" i="11"/>
  <c r="X7" i="11"/>
  <c r="X8" i="11"/>
  <c r="X9" i="11"/>
  <c r="X10" i="11"/>
  <c r="X11" i="11"/>
  <c r="X12" i="11"/>
  <c r="X13" i="11"/>
  <c r="X14" i="11"/>
  <c r="X15" i="11"/>
  <c r="X17" i="11"/>
  <c r="G13" i="4"/>
  <c r="X6" i="12"/>
  <c r="X7" i="12"/>
  <c r="X8" i="12"/>
  <c r="X9" i="12"/>
  <c r="X10" i="12"/>
  <c r="X11" i="12"/>
  <c r="X12" i="12"/>
  <c r="X13" i="12"/>
  <c r="X14" i="12"/>
  <c r="X15" i="12"/>
  <c r="X17" i="12"/>
  <c r="G14" i="4"/>
  <c r="G20" i="4"/>
  <c r="D40" i="4"/>
  <c r="N3" i="4"/>
  <c r="J14" i="4"/>
  <c r="H13" i="12"/>
  <c r="J14" i="12"/>
  <c r="I14" i="12"/>
  <c r="H14" i="12"/>
  <c r="J13" i="12"/>
  <c r="I13" i="12"/>
  <c r="J12" i="12"/>
  <c r="I12" i="12"/>
  <c r="H12" i="12"/>
  <c r="J11" i="12"/>
  <c r="I11" i="12"/>
  <c r="H11" i="12"/>
  <c r="J10" i="12"/>
  <c r="I10" i="12"/>
  <c r="H10" i="12"/>
  <c r="J9" i="12"/>
  <c r="I9" i="12"/>
  <c r="H9" i="12"/>
  <c r="J8" i="12"/>
  <c r="I8" i="12"/>
  <c r="H8" i="12"/>
  <c r="J7" i="12"/>
  <c r="I7" i="12"/>
  <c r="H7" i="12"/>
  <c r="J6" i="12"/>
  <c r="I6" i="12"/>
  <c r="H6" i="12"/>
  <c r="J13" i="4"/>
  <c r="J12" i="4"/>
  <c r="J14" i="11"/>
  <c r="I14" i="11"/>
  <c r="H14" i="11"/>
  <c r="J13" i="11"/>
  <c r="I13" i="11"/>
  <c r="H13" i="11"/>
  <c r="J12" i="11"/>
  <c r="I12" i="11"/>
  <c r="H12" i="11"/>
  <c r="J11" i="11"/>
  <c r="I11" i="11"/>
  <c r="H11" i="11"/>
  <c r="J10" i="11"/>
  <c r="I10" i="11"/>
  <c r="H10" i="11"/>
  <c r="J9" i="11"/>
  <c r="I9" i="11"/>
  <c r="H9" i="11"/>
  <c r="J8" i="11"/>
  <c r="I8" i="11"/>
  <c r="H8" i="11"/>
  <c r="J7" i="11"/>
  <c r="I7" i="11"/>
  <c r="H7" i="11"/>
  <c r="J6" i="11"/>
  <c r="I6" i="11"/>
  <c r="H6" i="11"/>
  <c r="J15" i="10"/>
  <c r="I15" i="10"/>
  <c r="H15" i="10"/>
  <c r="J14" i="10"/>
  <c r="I14" i="10"/>
  <c r="H14" i="10"/>
  <c r="J13" i="10"/>
  <c r="I13" i="10"/>
  <c r="H13" i="10"/>
  <c r="J12" i="10"/>
  <c r="I12" i="10"/>
  <c r="H12" i="10"/>
  <c r="J11" i="10"/>
  <c r="I11" i="10"/>
  <c r="H11" i="10"/>
  <c r="J10" i="10"/>
  <c r="I10" i="10"/>
  <c r="H10" i="10"/>
  <c r="J9" i="10"/>
  <c r="I9" i="10"/>
  <c r="H9" i="10"/>
  <c r="J8" i="10"/>
  <c r="I8" i="10"/>
  <c r="H8" i="10"/>
  <c r="J7" i="10"/>
  <c r="I7" i="10"/>
  <c r="H7" i="10"/>
  <c r="J6" i="10"/>
  <c r="I6" i="10"/>
  <c r="H6" i="10"/>
  <c r="J11" i="4"/>
  <c r="J15" i="9"/>
  <c r="I15" i="9"/>
  <c r="H15" i="9"/>
  <c r="J14" i="9"/>
  <c r="I14" i="9"/>
  <c r="H14" i="9"/>
  <c r="J13" i="9"/>
  <c r="I13" i="9"/>
  <c r="H13" i="9"/>
  <c r="J12" i="9"/>
  <c r="I12" i="9"/>
  <c r="H12" i="9"/>
  <c r="J11" i="9"/>
  <c r="I11" i="9"/>
  <c r="H11" i="9"/>
  <c r="J10" i="9"/>
  <c r="I10" i="9"/>
  <c r="H10" i="9"/>
  <c r="J9" i="9"/>
  <c r="I9" i="9"/>
  <c r="H9" i="9"/>
  <c r="J8" i="9"/>
  <c r="I8" i="9"/>
  <c r="H8" i="9"/>
  <c r="J7" i="9"/>
  <c r="I7" i="9"/>
  <c r="H7" i="9"/>
  <c r="J6" i="9"/>
  <c r="I6" i="9"/>
  <c r="H6" i="9"/>
  <c r="J15" i="8"/>
  <c r="I15" i="8"/>
  <c r="H15" i="8"/>
  <c r="J14" i="8"/>
  <c r="I14" i="8"/>
  <c r="H14" i="8"/>
  <c r="J13" i="8"/>
  <c r="I13" i="8"/>
  <c r="H13" i="8"/>
  <c r="J12" i="8"/>
  <c r="I12" i="8"/>
  <c r="H12" i="8"/>
  <c r="J11" i="8"/>
  <c r="I11" i="8"/>
  <c r="H11" i="8"/>
  <c r="J10" i="8"/>
  <c r="I10" i="8"/>
  <c r="H10" i="8"/>
  <c r="J9" i="8"/>
  <c r="I9" i="8"/>
  <c r="H9" i="8"/>
  <c r="J8" i="8"/>
  <c r="I8" i="8"/>
  <c r="H8" i="8"/>
  <c r="J7" i="8"/>
  <c r="I7" i="8"/>
  <c r="H7" i="8"/>
  <c r="J6" i="8"/>
  <c r="I6" i="8"/>
  <c r="H6" i="8"/>
  <c r="J13" i="7"/>
  <c r="I13" i="7"/>
  <c r="H13" i="7"/>
  <c r="J12" i="7"/>
  <c r="I12" i="7"/>
  <c r="H12" i="7"/>
  <c r="J11" i="7"/>
  <c r="I11" i="7"/>
  <c r="H11" i="7"/>
  <c r="J10" i="7"/>
  <c r="I10" i="7"/>
  <c r="H10" i="7"/>
  <c r="J9" i="7"/>
  <c r="I9" i="7"/>
  <c r="H9" i="7"/>
  <c r="J8" i="7"/>
  <c r="I8" i="7"/>
  <c r="H8" i="7"/>
  <c r="J7" i="7"/>
  <c r="I7" i="7"/>
  <c r="H7" i="7"/>
  <c r="J6" i="7"/>
  <c r="I6" i="7"/>
  <c r="H6" i="7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H9" i="6"/>
  <c r="I9" i="6"/>
  <c r="J9" i="6"/>
  <c r="H8" i="6"/>
  <c r="I8" i="6"/>
  <c r="J8" i="6"/>
  <c r="H7" i="6"/>
  <c r="I7" i="6"/>
  <c r="J7" i="6"/>
  <c r="J6" i="6"/>
  <c r="I6" i="6"/>
  <c r="H6" i="6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C21" i="4"/>
  <c r="K21" i="4"/>
  <c r="J15" i="3"/>
  <c r="I15" i="3"/>
  <c r="H15" i="3"/>
  <c r="J14" i="3"/>
  <c r="I14" i="3"/>
  <c r="H14" i="3"/>
  <c r="D11" i="3"/>
  <c r="H10" i="3"/>
  <c r="I10" i="3"/>
  <c r="J10" i="3"/>
  <c r="R7" i="2"/>
  <c r="J13" i="3"/>
  <c r="I13" i="3"/>
  <c r="H13" i="3"/>
  <c r="J12" i="3"/>
  <c r="I12" i="3"/>
  <c r="H12" i="3"/>
  <c r="J11" i="3"/>
  <c r="I11" i="3"/>
  <c r="H11" i="3"/>
  <c r="J9" i="3"/>
  <c r="I9" i="3"/>
  <c r="H9" i="3"/>
  <c r="J8" i="3"/>
  <c r="I8" i="3"/>
  <c r="H8" i="3"/>
  <c r="J7" i="3"/>
  <c r="I7" i="3"/>
  <c r="H7" i="3"/>
  <c r="J6" i="3"/>
  <c r="I6" i="3"/>
  <c r="H6" i="3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E24" i="2"/>
  <c r="J15" i="1"/>
  <c r="I15" i="1"/>
  <c r="H15" i="1"/>
  <c r="J14" i="1"/>
  <c r="I14" i="1"/>
  <c r="H14" i="1"/>
  <c r="H13" i="1"/>
  <c r="I13" i="1"/>
  <c r="J13" i="1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7" i="1"/>
  <c r="I7" i="1"/>
  <c r="J7" i="1"/>
  <c r="I6" i="1"/>
  <c r="J6" i="1"/>
  <c r="H6" i="1"/>
  <c r="K22" i="4"/>
  <c r="C22" i="4"/>
</calcChain>
</file>

<file path=xl/sharedStrings.xml><?xml version="1.0" encoding="utf-8"?>
<sst xmlns="http://schemas.openxmlformats.org/spreadsheetml/2006/main" count="1077" uniqueCount="261">
  <si>
    <t>everton v boro</t>
  </si>
  <si>
    <t>Chelsea v Leicester</t>
  </si>
  <si>
    <t>1-1</t>
  </si>
  <si>
    <t>Date</t>
  </si>
  <si>
    <t>Match</t>
  </si>
  <si>
    <t>Most probable score</t>
  </si>
  <si>
    <t>Arsenal v Swansea</t>
  </si>
  <si>
    <t>Home</t>
  </si>
  <si>
    <t>Draw</t>
  </si>
  <si>
    <t>Away</t>
  </si>
  <si>
    <t>SAM's Probability</t>
  </si>
  <si>
    <t>SAM's Implied Odds</t>
  </si>
  <si>
    <t>Actual odds of preferred scoreline</t>
  </si>
  <si>
    <t>Lay Chelsea</t>
  </si>
  <si>
    <t>Price obtained</t>
  </si>
  <si>
    <t>2-0</t>
  </si>
  <si>
    <t>Bournemouth v Hull</t>
  </si>
  <si>
    <t>Back Hull</t>
  </si>
  <si>
    <t>Man City v Everton</t>
  </si>
  <si>
    <t>2-1</t>
  </si>
  <si>
    <t>West Brom v Tottenham</t>
  </si>
  <si>
    <t>0-1</t>
  </si>
  <si>
    <t>Back draw</t>
  </si>
  <si>
    <t>Back Palace</t>
  </si>
  <si>
    <t>Crystal Palace v West Ham</t>
  </si>
  <si>
    <t>Stoke v Sunderland</t>
  </si>
  <si>
    <t>Back Sunderland</t>
  </si>
  <si>
    <t>Match Bet taken</t>
  </si>
  <si>
    <t>Result</t>
  </si>
  <si>
    <t>3-0</t>
  </si>
  <si>
    <t>3-2</t>
  </si>
  <si>
    <t>6-1</t>
  </si>
  <si>
    <t>Exact scoreline outcome</t>
  </si>
  <si>
    <t>Match Bet outcome</t>
  </si>
  <si>
    <t>Loss</t>
  </si>
  <si>
    <t>No Bet</t>
  </si>
  <si>
    <t>Win</t>
  </si>
  <si>
    <t>Match Bet Pts outcome</t>
  </si>
  <si>
    <t>Matched Bets Profit (pts)</t>
  </si>
  <si>
    <t>Points staked on Exact Scoreline</t>
  </si>
  <si>
    <t>Points staked on Match Bets</t>
  </si>
  <si>
    <t>Exact Scoreline Profit (pts)</t>
  </si>
  <si>
    <t>Middlesbrough v Watford</t>
  </si>
  <si>
    <t>Southampton v Burnley</t>
  </si>
  <si>
    <t>1-0</t>
  </si>
  <si>
    <t xml:space="preserve">SAM Predicitions </t>
  </si>
  <si>
    <t>Betfair Odds &amp; Bets Taken</t>
  </si>
  <si>
    <t>Match Results &amp; Bet Outcomes</t>
  </si>
  <si>
    <t>3-1</t>
  </si>
  <si>
    <t>Liverpool v Manchester United</t>
  </si>
  <si>
    <t>Back Liverpool</t>
  </si>
  <si>
    <t>0-0</t>
  </si>
  <si>
    <t>Bournemouth v Tottenham</t>
  </si>
  <si>
    <t>Arsenal v Middlesbrough</t>
  </si>
  <si>
    <t>Burnley v Everton</t>
  </si>
  <si>
    <t>Hull v Stoke</t>
  </si>
  <si>
    <t>Leicester v Crystal Palace</t>
  </si>
  <si>
    <t>Swansea v Watford</t>
  </si>
  <si>
    <t>West Ham v Sunderland</t>
  </si>
  <si>
    <t>Liverpool v West Brom</t>
  </si>
  <si>
    <t>Back Tottenham</t>
  </si>
  <si>
    <t>Back Draw</t>
  </si>
  <si>
    <t>Lay Draw</t>
  </si>
  <si>
    <t>Back Leicester</t>
  </si>
  <si>
    <t>Lay Liverpool</t>
  </si>
  <si>
    <t>Bournemouth v Sunderland</t>
  </si>
  <si>
    <t>Burnley v Palace</t>
  </si>
  <si>
    <t>Man City v Middlesbrough</t>
  </si>
  <si>
    <t>West Ham v Stoke</t>
  </si>
  <si>
    <t>Chelsea v Everton</t>
  </si>
  <si>
    <t>Arsenal v Tottenham</t>
  </si>
  <si>
    <t>Hull v Southampton</t>
  </si>
  <si>
    <t>Liverpool v Watford</t>
  </si>
  <si>
    <t>Swansea v Man United</t>
  </si>
  <si>
    <t>Leicester v West Brom</t>
  </si>
  <si>
    <t>Lay Bournemouth</t>
  </si>
  <si>
    <t>Back Burnley</t>
  </si>
  <si>
    <t>0-2</t>
  </si>
  <si>
    <t>Back West Ham</t>
  </si>
  <si>
    <t>Back Southampton</t>
  </si>
  <si>
    <t>Lay United</t>
  </si>
  <si>
    <t>14 to 17 October 2016</t>
  </si>
  <si>
    <t>Match bets</t>
  </si>
  <si>
    <t>Correct Scoreline</t>
  </si>
  <si>
    <t>Number of bets (Match)</t>
  </si>
  <si>
    <t>Number of bets (CS)</t>
  </si>
  <si>
    <t>21 to 24 October 2016</t>
  </si>
  <si>
    <t>5 to 6 November 2016</t>
  </si>
  <si>
    <t>Totals</t>
  </si>
  <si>
    <t>Won</t>
  </si>
  <si>
    <t>1-2</t>
  </si>
  <si>
    <t>5-0</t>
  </si>
  <si>
    <t>1-3</t>
  </si>
  <si>
    <t>Man United v Arsenal</t>
  </si>
  <si>
    <t>Back Arsenal</t>
  </si>
  <si>
    <t>Crystal Palace v Man City</t>
  </si>
  <si>
    <t>Lay City</t>
  </si>
  <si>
    <t>Everton v Swansea</t>
  </si>
  <si>
    <t>Lay Everton</t>
  </si>
  <si>
    <t>Southampton v Liverpool</t>
  </si>
  <si>
    <t>Stoke v Bournemouth</t>
  </si>
  <si>
    <t>Back Stoke</t>
  </si>
  <si>
    <t>Sunderland v Hull</t>
  </si>
  <si>
    <t>Watford v Leicester</t>
  </si>
  <si>
    <t>Tottenham v West Ham</t>
  </si>
  <si>
    <t>Middlesbrough v Chelsea</t>
  </si>
  <si>
    <t>West Brom v Burnley</t>
  </si>
  <si>
    <t>Lay West Brom</t>
  </si>
  <si>
    <t>4-0</t>
  </si>
  <si>
    <t>19 to 21 November 2016</t>
  </si>
  <si>
    <t>Burnley v Man City</t>
  </si>
  <si>
    <t xml:space="preserve">Hull v West Brom </t>
  </si>
  <si>
    <t>Leicester v Middlesbrough</t>
  </si>
  <si>
    <t>Liverpool v Sunderland</t>
  </si>
  <si>
    <t>Swansea v Crystal Palace</t>
  </si>
  <si>
    <t>Chelsea v Tottenham</t>
  </si>
  <si>
    <t>Watford v Stoke</t>
  </si>
  <si>
    <t>Arsenal v Bournemouth</t>
  </si>
  <si>
    <t>Man United v West Ham</t>
  </si>
  <si>
    <t>Southampton v Everton</t>
  </si>
  <si>
    <t>26 to 27 November 2016</t>
  </si>
  <si>
    <t>Back West Brom</t>
  </si>
  <si>
    <t>Back Swansea</t>
  </si>
  <si>
    <t>Back Watford</t>
  </si>
  <si>
    <t>2-2</t>
  </si>
  <si>
    <t>5-4</t>
  </si>
  <si>
    <t>ROI</t>
  </si>
  <si>
    <t>Risked Amount (Match Bets)</t>
  </si>
  <si>
    <t>Strike Rate</t>
  </si>
  <si>
    <t>Winning Bets (Match Bets)</t>
  </si>
  <si>
    <t>Winning Bets (CS)</t>
  </si>
  <si>
    <t>Winning Bets (MB)</t>
  </si>
  <si>
    <t>Summary - Discretionary Match Bets</t>
  </si>
  <si>
    <t>Summary - Correct Score Predictions</t>
  </si>
  <si>
    <t>Man City v Chelsea</t>
  </si>
  <si>
    <t>Back City</t>
  </si>
  <si>
    <t>Crystal Palace v Southampton</t>
  </si>
  <si>
    <t>Stoke v Burnley</t>
  </si>
  <si>
    <t>Sunderland v Leicester</t>
  </si>
  <si>
    <t>Tottenham v Swansea</t>
  </si>
  <si>
    <t>West Brom v Watford</t>
  </si>
  <si>
    <t>West Ham v Arsenal</t>
  </si>
  <si>
    <t>Bournemouth v Liverpool</t>
  </si>
  <si>
    <t>Everton v Man United</t>
  </si>
  <si>
    <t>Middlesbrough v Hull City</t>
  </si>
  <si>
    <t>Lay Stoke</t>
  </si>
  <si>
    <t>Lay Tottenham</t>
  </si>
  <si>
    <t>Watford v Everton</t>
  </si>
  <si>
    <t>Arsenal v Stoke</t>
  </si>
  <si>
    <t>Burnley v Bournemouth</t>
  </si>
  <si>
    <t>Hull v Crystal Palace</t>
  </si>
  <si>
    <t>Swansea v Sunderland</t>
  </si>
  <si>
    <t>Leicester v Man City</t>
  </si>
  <si>
    <t>Chelsea v West Brom</t>
  </si>
  <si>
    <t>Man Utd v Spurs</t>
  </si>
  <si>
    <t>Southampton v Middlesbrough</t>
  </si>
  <si>
    <t>Liverpool v West Ham</t>
  </si>
  <si>
    <t>Lay Southampton</t>
  </si>
  <si>
    <t>1-5</t>
  </si>
  <si>
    <t>4-3</t>
  </si>
  <si>
    <t>NO BETS</t>
  </si>
  <si>
    <t>3-3</t>
  </si>
  <si>
    <t>4-2</t>
  </si>
  <si>
    <t>03 to 05 December 2016</t>
  </si>
  <si>
    <t>09 to 12 December 2016</t>
  </si>
  <si>
    <t>Arsenal v Watford</t>
  </si>
  <si>
    <t>None</t>
  </si>
  <si>
    <t>Bournemouth v Palace</t>
  </si>
  <si>
    <t>Burnley v Leicester</t>
  </si>
  <si>
    <t>Middlesbrough v West Brom</t>
  </si>
  <si>
    <t>Sunderland v Spurs</t>
  </si>
  <si>
    <t>Lay Spurs</t>
  </si>
  <si>
    <t>Swansea v Southampton</t>
  </si>
  <si>
    <t>Liverpool v Chelsea</t>
  </si>
  <si>
    <t>Back Chelsea</t>
  </si>
  <si>
    <t>West Ham v Manchester City</t>
  </si>
  <si>
    <t>Man United v Hull</t>
  </si>
  <si>
    <t>Stoke City v Everton</t>
  </si>
  <si>
    <t>0-4</t>
  </si>
  <si>
    <t>Chelsea v Arsenal</t>
  </si>
  <si>
    <t>Palace v Sunderland</t>
  </si>
  <si>
    <t>Everton v Bournemouth</t>
  </si>
  <si>
    <t>Hull v Liverpool</t>
  </si>
  <si>
    <t>Southampton v West Ham</t>
  </si>
  <si>
    <t>Watford v Burnley</t>
  </si>
  <si>
    <t>West Brom v Stoke</t>
  </si>
  <si>
    <t>Spurs v Middlesbrough</t>
  </si>
  <si>
    <t>Man City v Swansea</t>
  </si>
  <si>
    <t>Leicester v Man United</t>
  </si>
  <si>
    <t>Lay Palace</t>
  </si>
  <si>
    <t>Back Everton</t>
  </si>
  <si>
    <t>Arsenal v Hull</t>
  </si>
  <si>
    <t>Middlesbrough v Everton</t>
  </si>
  <si>
    <t>Stoke v Crystal Palace</t>
  </si>
  <si>
    <t>Sunderland v Southampton</t>
  </si>
  <si>
    <t>West Ham v West Brom</t>
  </si>
  <si>
    <t>Liverpool v Tottenham</t>
  </si>
  <si>
    <t>Burnley v Chelsea</t>
  </si>
  <si>
    <t>Swansea v Leicester</t>
  </si>
  <si>
    <t>Man United v Watford</t>
  </si>
  <si>
    <t>Back Spurs</t>
  </si>
  <si>
    <t>6-3</t>
  </si>
  <si>
    <t>0-3</t>
  </si>
  <si>
    <t>04 Feb to 05 feb 2017</t>
  </si>
  <si>
    <t>31 Jan to 01 Feb 2017</t>
  </si>
  <si>
    <t>11 Feb to 13 feb 2017</t>
  </si>
  <si>
    <t>Man United v Bournemouth</t>
  </si>
  <si>
    <t>Leicester v Hull</t>
  </si>
  <si>
    <t>Stoke v Middlesbrough</t>
  </si>
  <si>
    <t>Swansea v Burnley</t>
  </si>
  <si>
    <t>Watford v Southampton</t>
  </si>
  <si>
    <t>West Brom v Crystal Palace</t>
  </si>
  <si>
    <t>Liverpool v Arsenal</t>
  </si>
  <si>
    <t>Tottenham v Everton</t>
  </si>
  <si>
    <t>Sunderland v Manchester City</t>
  </si>
  <si>
    <t>3-4</t>
  </si>
  <si>
    <t>04 to 05 Mar 2017</t>
  </si>
  <si>
    <t>Running Total</t>
  </si>
  <si>
    <t>Total Profit</t>
  </si>
  <si>
    <t>Total No. of Bets</t>
  </si>
  <si>
    <t>Risked Amount</t>
  </si>
  <si>
    <t>Overall Performance</t>
  </si>
  <si>
    <t>18 to 19 Mar 2017</t>
  </si>
  <si>
    <t>Everton v Hull</t>
  </si>
  <si>
    <t>Stoke v Chelsea</t>
  </si>
  <si>
    <t>Sunderland v Burnley</t>
  </si>
  <si>
    <t>West Ham v Leicester</t>
  </si>
  <si>
    <t>Bournemouth v Swansea</t>
  </si>
  <si>
    <t>Middlesbrough v Man United</t>
  </si>
  <si>
    <t>Spurs v Southampton</t>
  </si>
  <si>
    <t>Man City v Liverpool</t>
  </si>
  <si>
    <t>Lay Arsenal</t>
  </si>
  <si>
    <t xml:space="preserve"> </t>
  </si>
  <si>
    <t>Liverpool v Everton</t>
  </si>
  <si>
    <t>1st to 3rd April 2017</t>
  </si>
  <si>
    <t>West Brom v Arsenal</t>
  </si>
  <si>
    <t>2-3</t>
  </si>
  <si>
    <t>Burnley v Spurs</t>
  </si>
  <si>
    <t>Chelsea v Crystal Palace</t>
  </si>
  <si>
    <t>Hull v West Ham</t>
  </si>
  <si>
    <t>Leicester v Stoke</t>
  </si>
  <si>
    <t>Man United v West Brom</t>
  </si>
  <si>
    <t>Watford v Sunderland</t>
  </si>
  <si>
    <t>Southampton v Bournemouth</t>
  </si>
  <si>
    <t>Swansea v Middlesbrough</t>
  </si>
  <si>
    <t>Arsenal v Manchester City</t>
  </si>
  <si>
    <t>20th to 21st May 2017</t>
  </si>
  <si>
    <t>Arsenal v Everton</t>
  </si>
  <si>
    <t>Burnley v West Ham</t>
  </si>
  <si>
    <t>Chelsea v Sunderland</t>
  </si>
  <si>
    <t>Hull v Spurs</t>
  </si>
  <si>
    <t>Leicester v Bournemouth</t>
  </si>
  <si>
    <t>Liverpool v Middlesbrough</t>
  </si>
  <si>
    <t>Man United v Palace</t>
  </si>
  <si>
    <t>Southampton v Stoke</t>
  </si>
  <si>
    <t>Swansea v West Brom</t>
  </si>
  <si>
    <t>Watford v Manchester City</t>
  </si>
  <si>
    <t>Back United</t>
  </si>
  <si>
    <t>5-1</t>
  </si>
  <si>
    <t>1-7</t>
  </si>
  <si>
    <t>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</si>
</sst>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£-2]\ #,##0.00_);[Red]\([$£-2]\ #,##0.00\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" fontId="0" fillId="2" borderId="5" xfId="0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2" borderId="1" xfId="0" quotePrefix="1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1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" fontId="0" fillId="2" borderId="8" xfId="0" quotePrefix="1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1" xfId="0" quotePrefix="1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quotePrefix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quotePrefix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0" fillId="4" borderId="1" xfId="0" quotePrefix="1" applyFill="1" applyBorder="1" applyAlignment="1">
      <alignment horizontal="center" vertical="center"/>
    </xf>
    <xf numFmtId="16" fontId="0" fillId="4" borderId="1" xfId="0" quotePrefix="1" applyNumberFormat="1" applyFill="1" applyBorder="1" applyAlignment="1">
      <alignment horizontal="center" vertical="center"/>
    </xf>
    <xf numFmtId="0" fontId="0" fillId="4" borderId="8" xfId="0" quotePrefix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4" xfId="0" applyFont="1" applyBorder="1"/>
    <xf numFmtId="0" fontId="0" fillId="0" borderId="15" xfId="0" applyBorder="1"/>
    <xf numFmtId="0" fontId="3" fillId="0" borderId="5" xfId="0" applyFont="1" applyBorder="1"/>
    <xf numFmtId="0" fontId="5" fillId="0" borderId="5" xfId="0" applyFont="1" applyBorder="1"/>
    <xf numFmtId="0" fontId="5" fillId="0" borderId="7" xfId="0" applyFont="1" applyBorder="1"/>
    <xf numFmtId="164" fontId="0" fillId="0" borderId="8" xfId="3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5" fontId="8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24" xfId="0" applyFont="1" applyBorder="1" applyAlignment="1">
      <alignment horizontal="center"/>
    </xf>
    <xf numFmtId="164" fontId="5" fillId="0" borderId="24" xfId="3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9" fontId="5" fillId="2" borderId="1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" fontId="0" fillId="2" borderId="18" xfId="0" quotePrefix="1" applyNumberFormat="1" applyFill="1" applyBorder="1" applyAlignment="1">
      <alignment horizontal="center" vertical="center"/>
    </xf>
    <xf numFmtId="16" fontId="0" fillId="2" borderId="19" xfId="0" quotePrefix="1" applyNumberFormat="1" applyFill="1" applyBorder="1" applyAlignment="1">
      <alignment horizontal="center" vertical="center"/>
    </xf>
    <xf numFmtId="16" fontId="0" fillId="2" borderId="20" xfId="0" quotePrefix="1" applyNumberFormat="1" applyFill="1" applyBorder="1" applyAlignment="1">
      <alignment horizontal="center" vertical="center"/>
    </xf>
    <xf numFmtId="16" fontId="0" fillId="2" borderId="21" xfId="0" quotePrefix="1" applyNumberFormat="1" applyFill="1" applyBorder="1" applyAlignment="1">
      <alignment horizontal="center" vertical="center"/>
    </xf>
    <xf numFmtId="16" fontId="0" fillId="2" borderId="22" xfId="0" quotePrefix="1" applyNumberFormat="1" applyFill="1" applyBorder="1" applyAlignment="1">
      <alignment horizontal="center" vertical="center"/>
    </xf>
    <xf numFmtId="16" fontId="0" fillId="2" borderId="23" xfId="0" quotePrefix="1" applyNumberFormat="1" applyFill="1" applyBorder="1" applyAlignment="1">
      <alignment horizontal="center" vertic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ABD17C-E49D-4B8B-80A7-B85603600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435717" cy="81707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0723306"/>
          <a:ext cx="5619048" cy="83428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15</xdr:col>
      <xdr:colOff>949211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8725" y="10687050"/>
          <a:ext cx="6396897" cy="184761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37679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9200" y="10693400"/>
          <a:ext cx="6390547" cy="184761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396147</xdr:colOff>
      <xdr:row>65</xdr:row>
      <xdr:rowOff>133118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9334500"/>
          <a:ext cx="5819048" cy="18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0502900"/>
          <a:ext cx="6153267" cy="81707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435717" cy="8170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435717" cy="81707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0502900"/>
          <a:ext cx="6153267" cy="81707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445242" cy="81707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6692" cy="81707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6467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6692" cy="81707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6467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tabSelected="1" workbookViewId="0">
      <selection activeCell="A33" sqref="A27:XFD33"/>
    </sheetView>
  </sheetViews>
  <sheetFormatPr defaultColWidth="8.85546875" defaultRowHeight="15" x14ac:dyDescent="0.25"/>
  <cols>
    <col min="1" max="1" width="1.7109375" customWidth="1"/>
    <col min="2" max="2" width="23.85546875" style="56" customWidth="1"/>
    <col min="3" max="3" width="35.42578125" customWidth="1"/>
    <col min="4" max="4" width="20.85546875" customWidth="1"/>
    <col min="5" max="5" width="22.7109375" bestFit="1" customWidth="1"/>
    <col min="6" max="6" width="4.140625" customWidth="1"/>
    <col min="7" max="7" width="16.28515625" customWidth="1"/>
    <col min="8" max="8" width="22.7109375" style="86" bestFit="1" customWidth="1"/>
    <col min="9" max="9" width="12.85546875" style="86" customWidth="1"/>
    <col min="10" max="10" width="43.7109375" bestFit="1" customWidth="1"/>
    <col min="11" max="11" width="16.28515625" bestFit="1" customWidth="1"/>
    <col min="12" max="12" width="17" bestFit="1" customWidth="1"/>
    <col min="13" max="13" width="19.140625" bestFit="1" customWidth="1"/>
    <col min="14" max="14" width="22.7109375" style="86" customWidth="1"/>
    <col min="15" max="15" width="0" hidden="1" customWidth="1"/>
    <col min="16" max="16" width="10.85546875" hidden="1" customWidth="1"/>
    <col min="17" max="17" width="0" hidden="1" customWidth="1"/>
  </cols>
  <sheetData>
    <row r="1" spans="2:16" ht="6.75" customHeight="1" thickBot="1" x14ac:dyDescent="0.3"/>
    <row r="2" spans="2:16" ht="19.5" thickBot="1" x14ac:dyDescent="0.35">
      <c r="B2" s="66" t="s">
        <v>132</v>
      </c>
      <c r="C2" s="67"/>
      <c r="D2" s="67"/>
      <c r="E2" s="67"/>
      <c r="F2" s="67"/>
      <c r="G2" s="67"/>
      <c r="J2" s="66" t="s">
        <v>133</v>
      </c>
      <c r="K2" s="67"/>
      <c r="L2" s="67"/>
      <c r="M2" s="67"/>
      <c r="O2" s="73"/>
      <c r="P2" s="74"/>
    </row>
    <row r="3" spans="2:16" s="57" customFormat="1" ht="15.75" x14ac:dyDescent="0.25">
      <c r="B3" s="68"/>
      <c r="C3" s="64" t="s">
        <v>82</v>
      </c>
      <c r="D3" s="64" t="s">
        <v>131</v>
      </c>
      <c r="E3" s="64" t="s">
        <v>84</v>
      </c>
      <c r="F3" s="64"/>
      <c r="G3" s="64" t="s">
        <v>220</v>
      </c>
      <c r="H3" s="87" t="s">
        <v>217</v>
      </c>
      <c r="I3" s="87"/>
      <c r="J3" s="68"/>
      <c r="K3" s="64" t="s">
        <v>83</v>
      </c>
      <c r="L3" s="64" t="s">
        <v>130</v>
      </c>
      <c r="M3" s="64" t="s">
        <v>85</v>
      </c>
      <c r="N3" s="87" t="str">
        <f>H3</f>
        <v>Running Total</v>
      </c>
      <c r="O3" s="75"/>
      <c r="P3" s="76"/>
    </row>
    <row r="4" spans="2:16" ht="15.75" x14ac:dyDescent="0.25">
      <c r="B4" s="69" t="s">
        <v>81</v>
      </c>
      <c r="C4" s="65">
        <f>'14 to 17 Oct 16'!E23</f>
        <v>-7.0600000000000005</v>
      </c>
      <c r="D4" s="65">
        <f>'14 to 17 Oct 16'!E28</f>
        <v>1</v>
      </c>
      <c r="E4" s="65">
        <v>7</v>
      </c>
      <c r="F4" s="65"/>
      <c r="G4" s="65">
        <f>'14 to 17 Oct 16'!X17</f>
        <v>16.45</v>
      </c>
      <c r="H4" s="88">
        <f>C4</f>
        <v>-7.0600000000000005</v>
      </c>
      <c r="I4" s="88"/>
      <c r="J4" s="69" t="s">
        <v>81</v>
      </c>
      <c r="K4" s="65">
        <f>'14 to 17 Oct 16'!E24</f>
        <v>-10</v>
      </c>
      <c r="L4" s="65">
        <f>'14 to 17 Oct 16'!E29</f>
        <v>0</v>
      </c>
      <c r="M4" s="65">
        <v>10</v>
      </c>
      <c r="N4" s="88">
        <f>K4</f>
        <v>-10</v>
      </c>
      <c r="O4" s="75"/>
      <c r="P4" s="77"/>
    </row>
    <row r="5" spans="2:16" ht="15.75" x14ac:dyDescent="0.25">
      <c r="B5" s="69" t="s">
        <v>86</v>
      </c>
      <c r="C5" s="65">
        <f>'21 to 24 Oct 16'!E23</f>
        <v>-3.3000000000000003</v>
      </c>
      <c r="D5" s="65">
        <f>'21 to 24 Oct 16'!E28</f>
        <v>2</v>
      </c>
      <c r="E5" s="65">
        <v>6</v>
      </c>
      <c r="F5" s="65"/>
      <c r="G5" s="65">
        <f>'21 to 24 Oct 16'!X17</f>
        <v>16.75</v>
      </c>
      <c r="H5" s="88">
        <f>H4+C5</f>
        <v>-10.360000000000001</v>
      </c>
      <c r="I5" s="88"/>
      <c r="J5" s="69" t="s">
        <v>86</v>
      </c>
      <c r="K5" s="65">
        <f>-8</f>
        <v>-8</v>
      </c>
      <c r="L5" s="65">
        <f>'21 to 24 Oct 16'!E29</f>
        <v>0</v>
      </c>
      <c r="M5" s="65">
        <v>8</v>
      </c>
      <c r="N5" s="88">
        <f>K5+N4</f>
        <v>-18</v>
      </c>
      <c r="O5" s="75"/>
      <c r="P5" s="76"/>
    </row>
    <row r="6" spans="2:16" x14ac:dyDescent="0.25">
      <c r="B6" s="69" t="s">
        <v>87</v>
      </c>
      <c r="C6" s="65">
        <f>'05 to 07 Nov 2016'!E23</f>
        <v>8.1600000000000019</v>
      </c>
      <c r="D6" s="65">
        <f>'05 to 07 Nov 2016'!E28</f>
        <v>3</v>
      </c>
      <c r="E6" s="65">
        <f>COUNTIF('05 to 07 Nov 2016'!M5:M14,"&lt;&gt;"&amp;"No Bet")</f>
        <v>10</v>
      </c>
      <c r="F6" s="65"/>
      <c r="G6" s="65">
        <f>'05 to 07 Nov 2016'!X17</f>
        <v>20.759999999999998</v>
      </c>
      <c r="H6" s="88">
        <f t="shared" ref="H6:H17" si="0">H5+C6</f>
        <v>-2.1999999999999993</v>
      </c>
      <c r="I6" s="88"/>
      <c r="J6" s="69" t="s">
        <v>87</v>
      </c>
      <c r="K6" s="65">
        <f>'05 to 07 Nov 2016'!E24</f>
        <v>5.68</v>
      </c>
      <c r="L6" s="65">
        <f>'05 to 07 Nov 2016'!E29</f>
        <v>2</v>
      </c>
      <c r="M6" s="65">
        <v>10</v>
      </c>
      <c r="N6" s="88">
        <f t="shared" ref="N6:N17" si="1">K6+N5</f>
        <v>-12.32</v>
      </c>
    </row>
    <row r="7" spans="2:16" ht="15.75" x14ac:dyDescent="0.25">
      <c r="B7" s="69" t="s">
        <v>109</v>
      </c>
      <c r="C7" s="65">
        <f>'19 to 21 Nov 2016'!E23</f>
        <v>-10.23</v>
      </c>
      <c r="D7" s="65">
        <f>'19 to 21 Nov 2016'!E28</f>
        <v>2</v>
      </c>
      <c r="E7" s="65">
        <f>COUNTIF('19 to 21 Nov 2016'!M6:M15,"&lt;&gt;"&amp;"No Bet")</f>
        <v>9</v>
      </c>
      <c r="F7" s="65"/>
      <c r="G7" s="65">
        <f>'19 to 21 Nov 2016'!X17</f>
        <v>19.46</v>
      </c>
      <c r="H7" s="88">
        <f t="shared" si="0"/>
        <v>-12.43</v>
      </c>
      <c r="I7" s="88"/>
      <c r="J7" s="69" t="s">
        <v>109</v>
      </c>
      <c r="K7" s="65">
        <f>'19 to 21 Nov 2016'!E24</f>
        <v>13.139999999999999</v>
      </c>
      <c r="L7" s="65">
        <f>'19 to 21 Nov 2016'!E29</f>
        <v>3</v>
      </c>
      <c r="M7" s="65">
        <v>8</v>
      </c>
      <c r="N7" s="88">
        <f t="shared" si="1"/>
        <v>0.81999999999999851</v>
      </c>
      <c r="O7" s="75"/>
      <c r="P7" s="79"/>
    </row>
    <row r="8" spans="2:16" ht="15.75" x14ac:dyDescent="0.25">
      <c r="B8" s="69" t="s">
        <v>120</v>
      </c>
      <c r="C8" s="65">
        <f>'26 to 27 Nov 2016'!E23</f>
        <v>8.11</v>
      </c>
      <c r="D8" s="65">
        <f>'26 to 27 Nov 2016'!E28</f>
        <v>5</v>
      </c>
      <c r="E8" s="65">
        <f>COUNTIF('26 to 27 Nov 2016'!M7:M16,"&lt;&gt;"&amp;"No Bet")</f>
        <v>10</v>
      </c>
      <c r="F8" s="65"/>
      <c r="G8" s="65">
        <f>'26 to 27 Nov 2016'!X17</f>
        <v>19.689999999999998</v>
      </c>
      <c r="H8" s="88">
        <f t="shared" si="0"/>
        <v>-4.32</v>
      </c>
      <c r="I8" s="88"/>
      <c r="J8" s="69" t="s">
        <v>120</v>
      </c>
      <c r="K8" s="65">
        <f>'26 to 27 Nov 2016'!E24</f>
        <v>6.2499999999999991</v>
      </c>
      <c r="L8" s="65">
        <f>'26 to 27 Nov 2016'!E29</f>
        <v>2</v>
      </c>
      <c r="M8" s="65">
        <v>10</v>
      </c>
      <c r="N8" s="88">
        <f t="shared" si="1"/>
        <v>7.0699999999999976</v>
      </c>
      <c r="O8" s="75"/>
      <c r="P8" s="78"/>
    </row>
    <row r="9" spans="2:16" ht="15.75" x14ac:dyDescent="0.25">
      <c r="B9" s="69" t="s">
        <v>163</v>
      </c>
      <c r="C9" s="65">
        <f>'03 to 05 dec 2016'!E23</f>
        <v>-10.08</v>
      </c>
      <c r="D9" s="65">
        <f>'03 to 05 dec 2016'!E28</f>
        <v>0</v>
      </c>
      <c r="E9" s="65">
        <v>5</v>
      </c>
      <c r="F9" s="65"/>
      <c r="G9" s="65">
        <f>'03 to 05 dec 2016'!X17</f>
        <v>10.08</v>
      </c>
      <c r="H9" s="88">
        <f t="shared" si="0"/>
        <v>-14.4</v>
      </c>
      <c r="I9" s="88"/>
      <c r="J9" s="69" t="s">
        <v>163</v>
      </c>
      <c r="K9" s="65">
        <f>'03 to 05 dec 2016'!E24</f>
        <v>-8</v>
      </c>
      <c r="L9" s="65">
        <f>'03 to 05 dec 2016'!E29</f>
        <v>0</v>
      </c>
      <c r="M9" s="65">
        <v>8</v>
      </c>
      <c r="N9" s="88">
        <f t="shared" si="1"/>
        <v>-0.93000000000000238</v>
      </c>
      <c r="O9" s="75"/>
      <c r="P9" s="78"/>
    </row>
    <row r="10" spans="2:16" ht="15.75" x14ac:dyDescent="0.25">
      <c r="B10" s="69" t="s">
        <v>164</v>
      </c>
      <c r="C10" s="65">
        <f>'09 to 12 dec 2016'!E23</f>
        <v>7.46</v>
      </c>
      <c r="D10" s="65">
        <f>'09 to 12 dec 2016'!E28</f>
        <v>4</v>
      </c>
      <c r="E10" s="65">
        <v>8</v>
      </c>
      <c r="F10" s="65"/>
      <c r="G10" s="65">
        <f>'09 to 12 dec 2016'!X17</f>
        <v>16.029999999999998</v>
      </c>
      <c r="H10" s="88">
        <f t="shared" si="0"/>
        <v>-6.94</v>
      </c>
      <c r="I10" s="88"/>
      <c r="J10" s="69" t="s">
        <v>164</v>
      </c>
      <c r="K10" s="65">
        <f>'09 to 12 dec 2016'!E24</f>
        <v>3.7800000000000002</v>
      </c>
      <c r="L10" s="65">
        <f>'09 to 12 dec 2016'!E29</f>
        <v>2</v>
      </c>
      <c r="M10" s="65">
        <v>10</v>
      </c>
      <c r="N10" s="88">
        <f t="shared" si="1"/>
        <v>2.8499999999999979</v>
      </c>
      <c r="O10" s="75"/>
      <c r="P10" s="78"/>
    </row>
    <row r="11" spans="2:16" ht="15.75" x14ac:dyDescent="0.25">
      <c r="B11" s="69" t="s">
        <v>204</v>
      </c>
      <c r="C11" s="65">
        <f>'31 jan to 01 feb 17'!E23</f>
        <v>10.229999999999999</v>
      </c>
      <c r="D11" s="65">
        <f>'31 jan to 01 feb 17'!E28</f>
        <v>5</v>
      </c>
      <c r="E11" s="65">
        <v>8</v>
      </c>
      <c r="F11" s="65"/>
      <c r="G11" s="65">
        <f>'31 jan to 01 feb 17'!X17</f>
        <v>15.959999999999999</v>
      </c>
      <c r="H11" s="88">
        <f t="shared" si="0"/>
        <v>3.2899999999999983</v>
      </c>
      <c r="I11" s="88"/>
      <c r="J11" s="69" t="str">
        <f t="shared" ref="J11:J17" si="2">B11</f>
        <v>31 Jan to 01 Feb 2017</v>
      </c>
      <c r="K11" s="65">
        <f>'31 jan to 01 feb 17'!E24</f>
        <v>3.7799999999999994</v>
      </c>
      <c r="L11" s="65">
        <f>'31 jan to 01 feb 17'!E29</f>
        <v>2</v>
      </c>
      <c r="M11" s="65">
        <v>10</v>
      </c>
      <c r="N11" s="88">
        <f t="shared" si="1"/>
        <v>6.6299999999999972</v>
      </c>
      <c r="O11" s="75"/>
      <c r="P11" s="78"/>
    </row>
    <row r="12" spans="2:16" ht="15.75" x14ac:dyDescent="0.25">
      <c r="B12" s="69" t="s">
        <v>203</v>
      </c>
      <c r="C12" s="65">
        <f>'04 to 05 feb 2017'!E23</f>
        <v>4.07</v>
      </c>
      <c r="D12" s="65">
        <f>'04 to 05 feb 2017'!E28</f>
        <v>4</v>
      </c>
      <c r="E12" s="65">
        <v>7</v>
      </c>
      <c r="F12" s="65"/>
      <c r="G12" s="65">
        <f>'04 to 05 feb 2017'!X17</f>
        <v>21.85</v>
      </c>
      <c r="H12" s="88">
        <f t="shared" si="0"/>
        <v>7.3599999999999985</v>
      </c>
      <c r="I12" s="88"/>
      <c r="J12" s="69" t="str">
        <f t="shared" si="2"/>
        <v>04 Feb to 05 feb 2017</v>
      </c>
      <c r="K12" s="65">
        <f>'04 to 05 feb 2017'!E24</f>
        <v>5.3</v>
      </c>
      <c r="L12" s="65">
        <f>'04 to 05 feb 2017'!E29</f>
        <v>2</v>
      </c>
      <c r="M12" s="65">
        <v>10</v>
      </c>
      <c r="N12" s="88">
        <f t="shared" si="1"/>
        <v>11.929999999999996</v>
      </c>
      <c r="O12" s="75"/>
      <c r="P12" s="78"/>
    </row>
    <row r="13" spans="2:16" ht="15.75" x14ac:dyDescent="0.25">
      <c r="B13" s="69" t="s">
        <v>205</v>
      </c>
      <c r="C13" s="65">
        <f>'11 to 13 feb 2017'!E23</f>
        <v>0.10000000000000053</v>
      </c>
      <c r="D13" s="65">
        <f>'11 to 13 feb 2017'!E28</f>
        <v>4</v>
      </c>
      <c r="E13" s="65">
        <v>8</v>
      </c>
      <c r="F13" s="65"/>
      <c r="G13" s="65">
        <f>'11 to 13 feb 2017'!X17</f>
        <v>17.450000000000003</v>
      </c>
      <c r="H13" s="88">
        <f t="shared" si="0"/>
        <v>7.4599999999999991</v>
      </c>
      <c r="I13" s="88"/>
      <c r="J13" s="69" t="str">
        <f t="shared" si="2"/>
        <v>11 Feb to 13 feb 2017</v>
      </c>
      <c r="K13" s="65">
        <f>'11 to 13 feb 2017'!E24</f>
        <v>-2.3000000000000007</v>
      </c>
      <c r="L13" s="65">
        <f>'11 to 13 feb 2017'!E29</f>
        <v>1</v>
      </c>
      <c r="M13" s="65">
        <v>9</v>
      </c>
      <c r="N13" s="88">
        <f t="shared" si="1"/>
        <v>9.6299999999999955</v>
      </c>
      <c r="O13" s="75"/>
      <c r="P13" s="78"/>
    </row>
    <row r="14" spans="2:16" ht="15.75" x14ac:dyDescent="0.25">
      <c r="B14" s="69" t="s">
        <v>216</v>
      </c>
      <c r="C14" s="65">
        <f>'04 to 05 mar 2017'!E23</f>
        <v>-4.7300000000000004</v>
      </c>
      <c r="D14" s="65">
        <f>'04 to 05 mar 2017'!E28</f>
        <v>3</v>
      </c>
      <c r="E14" s="65">
        <v>8</v>
      </c>
      <c r="F14" s="65"/>
      <c r="G14" s="65">
        <f>'04 to 05 mar 2017'!X17</f>
        <v>16.5</v>
      </c>
      <c r="H14" s="88">
        <f t="shared" si="0"/>
        <v>2.7299999999999986</v>
      </c>
      <c r="I14" s="88"/>
      <c r="J14" s="69" t="str">
        <f t="shared" si="2"/>
        <v>04 to 05 Mar 2017</v>
      </c>
      <c r="K14" s="65">
        <f>'04 to 05 mar 2017'!E24</f>
        <v>-9</v>
      </c>
      <c r="L14" s="65">
        <f>'04 to 05 mar 2017'!E29</f>
        <v>0</v>
      </c>
      <c r="M14" s="65">
        <v>9</v>
      </c>
      <c r="N14" s="88">
        <f t="shared" si="1"/>
        <v>0.62999999999999545</v>
      </c>
      <c r="O14" s="75"/>
      <c r="P14" s="78"/>
    </row>
    <row r="15" spans="2:16" ht="15.75" x14ac:dyDescent="0.25">
      <c r="B15" s="69" t="s">
        <v>222</v>
      </c>
      <c r="C15" s="65">
        <f>'18 to 19 mar 2017'!E23</f>
        <v>-1.5500000000000003</v>
      </c>
      <c r="D15" s="65">
        <f>'18 to 19 mar 2017'!E28</f>
        <v>4</v>
      </c>
      <c r="E15" s="65">
        <v>8</v>
      </c>
      <c r="F15" s="65"/>
      <c r="G15" s="65">
        <f>'18 to 19 mar 2017'!X17</f>
        <v>22.93</v>
      </c>
      <c r="H15" s="88">
        <f t="shared" si="0"/>
        <v>1.1799999999999984</v>
      </c>
      <c r="I15" s="88"/>
      <c r="J15" s="69" t="str">
        <f t="shared" si="2"/>
        <v>18 to 19 Mar 2017</v>
      </c>
      <c r="K15" s="65">
        <f>'18 to 19 mar 2017'!E24</f>
        <v>-9</v>
      </c>
      <c r="L15" s="65">
        <f>'18 to 19 mar 2017'!E29</f>
        <v>0</v>
      </c>
      <c r="M15" s="65">
        <v>9</v>
      </c>
      <c r="N15" s="88">
        <f t="shared" si="1"/>
        <v>-8.3700000000000045</v>
      </c>
      <c r="O15" s="75"/>
      <c r="P15" s="78"/>
    </row>
    <row r="16" spans="2:16" ht="15.75" x14ac:dyDescent="0.25">
      <c r="B16" s="69" t="s">
        <v>234</v>
      </c>
      <c r="C16" s="94">
        <f>'1st to 3rd april 2017'!E23</f>
        <v>-7.07</v>
      </c>
      <c r="D16" s="94">
        <v>1</v>
      </c>
      <c r="E16" s="94">
        <v>5</v>
      </c>
      <c r="F16" s="94"/>
      <c r="G16" s="65">
        <f>'1st to 3rd april 2017'!X17</f>
        <v>10.530000000000001</v>
      </c>
      <c r="H16" s="88">
        <f t="shared" si="0"/>
        <v>-5.8900000000000023</v>
      </c>
      <c r="I16" s="88"/>
      <c r="J16" s="69" t="str">
        <f t="shared" si="2"/>
        <v>1st to 3rd April 2017</v>
      </c>
      <c r="K16" s="94">
        <f>'1st to 3rd april 2017'!E24</f>
        <v>-2.160000000000001</v>
      </c>
      <c r="L16" s="94">
        <v>1</v>
      </c>
      <c r="M16" s="94">
        <v>10</v>
      </c>
      <c r="N16" s="88">
        <f t="shared" si="1"/>
        <v>-10.530000000000005</v>
      </c>
      <c r="O16" s="75"/>
      <c r="P16" s="78"/>
    </row>
    <row r="17" spans="2:16" ht="15.75" x14ac:dyDescent="0.25">
      <c r="B17" s="69" t="s">
        <v>246</v>
      </c>
      <c r="C17" s="94">
        <f>'21 may 2017'!E23</f>
        <v>-10.08</v>
      </c>
      <c r="D17" s="94">
        <v>1</v>
      </c>
      <c r="E17" s="94">
        <v>8</v>
      </c>
      <c r="F17" s="94"/>
      <c r="G17" s="65">
        <f>'1st to 3rd april 2017'!X18</f>
        <v>0</v>
      </c>
      <c r="H17" s="88">
        <f t="shared" si="0"/>
        <v>-15.970000000000002</v>
      </c>
      <c r="I17" s="88"/>
      <c r="J17" s="69" t="str">
        <f t="shared" si="2"/>
        <v>20th to 21st May 2017</v>
      </c>
      <c r="K17" s="94">
        <f>'21 may 2017'!E24</f>
        <v>-10</v>
      </c>
      <c r="L17" s="94">
        <v>0</v>
      </c>
      <c r="M17" s="94">
        <v>10</v>
      </c>
      <c r="N17" s="88">
        <f t="shared" si="1"/>
        <v>-20.530000000000005</v>
      </c>
      <c r="O17" s="75"/>
      <c r="P17" s="78"/>
    </row>
    <row r="18" spans="2:16" ht="15.75" x14ac:dyDescent="0.25">
      <c r="B18" s="69"/>
      <c r="C18" s="94"/>
      <c r="D18" s="94"/>
      <c r="E18" s="94"/>
      <c r="F18" s="94"/>
      <c r="G18" s="94"/>
      <c r="H18" s="88"/>
      <c r="I18" s="88"/>
      <c r="J18" s="69"/>
      <c r="K18" s="94"/>
      <c r="L18" s="94"/>
      <c r="M18" s="94"/>
      <c r="N18" s="88"/>
      <c r="O18" s="75"/>
      <c r="P18" s="78"/>
    </row>
    <row r="19" spans="2:16" ht="15.75" x14ac:dyDescent="0.25">
      <c r="B19" s="69"/>
      <c r="C19" s="65"/>
      <c r="D19" s="65"/>
      <c r="E19" s="65"/>
      <c r="F19" s="65"/>
      <c r="G19" s="65"/>
      <c r="H19" s="88"/>
      <c r="I19" s="88"/>
      <c r="J19" s="69"/>
      <c r="K19" s="65"/>
      <c r="L19" s="65"/>
      <c r="M19" s="65"/>
      <c r="N19" s="88"/>
      <c r="O19" s="75"/>
      <c r="P19" s="78"/>
    </row>
    <row r="20" spans="2:16" ht="15.75" x14ac:dyDescent="0.25">
      <c r="B20" s="69" t="s">
        <v>88</v>
      </c>
      <c r="C20" s="65">
        <f>SUM(C4:C19)</f>
        <v>-15.970000000000002</v>
      </c>
      <c r="D20" s="65">
        <f>SUM(D4:D19)</f>
        <v>39</v>
      </c>
      <c r="E20" s="65">
        <f>SUM(E4:E19)</f>
        <v>107</v>
      </c>
      <c r="F20" s="65"/>
      <c r="G20" s="65">
        <f>SUM(G4:G19)</f>
        <v>224.44000000000003</v>
      </c>
      <c r="H20" s="88"/>
      <c r="I20" s="88"/>
      <c r="J20" s="69" t="s">
        <v>88</v>
      </c>
      <c r="K20" s="65">
        <f>SUM(K4:K19)</f>
        <v>-20.530000000000005</v>
      </c>
      <c r="L20" s="65">
        <f>SUM(L4:L19)</f>
        <v>15</v>
      </c>
      <c r="M20" s="65">
        <f>SUM(M4:M19)</f>
        <v>131</v>
      </c>
      <c r="N20" s="88"/>
      <c r="O20" s="75"/>
      <c r="P20" s="79"/>
    </row>
    <row r="21" spans="2:16" ht="16.5" thickBot="1" x14ac:dyDescent="0.3">
      <c r="B21" s="69" t="s">
        <v>128</v>
      </c>
      <c r="C21" s="71">
        <f>D20/E20</f>
        <v>0.3644859813084112</v>
      </c>
      <c r="D21" s="65"/>
      <c r="E21" s="65"/>
      <c r="F21" s="65"/>
      <c r="G21" s="65"/>
      <c r="H21" s="88"/>
      <c r="I21" s="88"/>
      <c r="J21" s="69" t="s">
        <v>128</v>
      </c>
      <c r="K21" s="71">
        <f>L20/M20</f>
        <v>0.11450381679389313</v>
      </c>
      <c r="L21" s="65"/>
      <c r="M21" s="65"/>
      <c r="N21" s="88"/>
      <c r="O21" s="75"/>
      <c r="P21" s="79"/>
    </row>
    <row r="22" spans="2:16" ht="15.75" thickBot="1" x14ac:dyDescent="0.3">
      <c r="B22" s="70" t="s">
        <v>126</v>
      </c>
      <c r="C22" s="71">
        <f>C20/G20</f>
        <v>-7.11548743539476E-2</v>
      </c>
      <c r="D22" s="71"/>
      <c r="E22" s="71"/>
      <c r="F22" s="71"/>
      <c r="G22" s="72"/>
      <c r="J22" s="70" t="s">
        <v>126</v>
      </c>
      <c r="K22" s="71">
        <f>K20/M20</f>
        <v>-0.15671755725190845</v>
      </c>
      <c r="L22" s="71"/>
      <c r="M22" s="71"/>
    </row>
    <row r="37" spans="3:4" x14ac:dyDescent="0.25">
      <c r="C37" s="57" t="s">
        <v>221</v>
      </c>
    </row>
    <row r="38" spans="3:4" x14ac:dyDescent="0.25">
      <c r="C38" s="91" t="s">
        <v>218</v>
      </c>
      <c r="D38" s="89">
        <f>C20+K20</f>
        <v>-36.500000000000007</v>
      </c>
    </row>
    <row r="39" spans="3:4" x14ac:dyDescent="0.25">
      <c r="C39" s="91" t="s">
        <v>219</v>
      </c>
      <c r="D39" s="89">
        <f>M20+E20</f>
        <v>238</v>
      </c>
    </row>
    <row r="40" spans="3:4" x14ac:dyDescent="0.25">
      <c r="C40" s="91" t="s">
        <v>126</v>
      </c>
      <c r="D40" s="90">
        <f>D38/(M20+G20)</f>
        <v>-0.10268962412784155</v>
      </c>
    </row>
    <row r="41" spans="3:4" x14ac:dyDescent="0.25">
      <c r="C41" s="91" t="s">
        <v>128</v>
      </c>
      <c r="D41" s="90">
        <f>(D20+L20)/D39</f>
        <v>0.22689075630252101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E1" zoomScale="93" zoomScaleNormal="93" zoomScalePageLayoutView="93" workbookViewId="0">
      <selection activeCell="N12" sqref="N12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42578125" style="3" bestFit="1" customWidth="1"/>
    <col min="4" max="4" width="30" style="3" customWidth="1"/>
    <col min="5" max="10" width="8.85546875" style="3" customWidth="1"/>
    <col min="11" max="11" width="2.42578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63" t="s">
        <v>4</v>
      </c>
      <c r="D3" s="63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42707</v>
      </c>
      <c r="C6" s="7" t="s">
        <v>134</v>
      </c>
      <c r="D6" s="15" t="s">
        <v>2</v>
      </c>
      <c r="E6" s="11">
        <v>0.5</v>
      </c>
      <c r="F6" s="11">
        <v>0.24</v>
      </c>
      <c r="G6" s="11">
        <v>0.26</v>
      </c>
      <c r="H6" s="13">
        <f t="shared" ref="H6:J13" si="0">(1/E6)</f>
        <v>2</v>
      </c>
      <c r="I6" s="13">
        <f t="shared" si="0"/>
        <v>4.166666666666667</v>
      </c>
      <c r="J6" s="14">
        <f t="shared" si="0"/>
        <v>3.8461538461538458</v>
      </c>
      <c r="L6" s="22">
        <v>7.8</v>
      </c>
      <c r="M6" s="23" t="s">
        <v>135</v>
      </c>
      <c r="N6" s="24">
        <v>2.2000000000000002</v>
      </c>
      <c r="P6" s="39" t="s">
        <v>34</v>
      </c>
      <c r="Q6" s="43">
        <f>-$E$21</f>
        <v>-2.5</v>
      </c>
      <c r="R6" s="59" t="s">
        <v>92</v>
      </c>
      <c r="S6" s="46">
        <f t="shared" ref="S6:S13" si="1">-$E$22</f>
        <v>-1</v>
      </c>
      <c r="X6" s="2">
        <f>IF(ISBLANK(P6),"",ROUND(IF(LEFT(M6,3)="Lay",(N6-1)*$E$21,$E$21),2))</f>
        <v>2.5</v>
      </c>
    </row>
    <row r="7" spans="2:24" x14ac:dyDescent="0.25">
      <c r="B7" s="9">
        <v>42707</v>
      </c>
      <c r="C7" s="7" t="s">
        <v>136</v>
      </c>
      <c r="D7" s="15" t="s">
        <v>2</v>
      </c>
      <c r="E7" s="11">
        <v>0.27</v>
      </c>
      <c r="F7" s="11">
        <v>0.28999999999999998</v>
      </c>
      <c r="G7" s="11">
        <v>0.44</v>
      </c>
      <c r="H7" s="13">
        <f t="shared" si="0"/>
        <v>3.7037037037037033</v>
      </c>
      <c r="I7" s="13">
        <f t="shared" si="0"/>
        <v>3.4482758620689657</v>
      </c>
      <c r="J7" s="14">
        <f t="shared" si="0"/>
        <v>2.2727272727272729</v>
      </c>
      <c r="L7" s="22">
        <v>7.4</v>
      </c>
      <c r="M7" s="23" t="s">
        <v>35</v>
      </c>
      <c r="N7" s="24"/>
      <c r="P7" s="39"/>
      <c r="Q7" s="43"/>
      <c r="R7" s="59" t="s">
        <v>29</v>
      </c>
      <c r="S7" s="46">
        <f t="shared" si="1"/>
        <v>-1</v>
      </c>
      <c r="X7" s="2" t="str">
        <f t="shared" ref="X7:X15" si="2">IF(ISBLANK(P7),"",ROUND(IF(LEFT(M7,3)="Lay",(N7-1)*$E$21,$E$21),2))</f>
        <v/>
      </c>
    </row>
    <row r="8" spans="2:24" x14ac:dyDescent="0.25">
      <c r="B8" s="9">
        <v>42707</v>
      </c>
      <c r="C8" s="7" t="s">
        <v>137</v>
      </c>
      <c r="D8" s="10" t="s">
        <v>44</v>
      </c>
      <c r="E8" s="11">
        <v>0.51</v>
      </c>
      <c r="F8" s="11">
        <v>0.28999999999999998</v>
      </c>
      <c r="G8" s="11">
        <v>0.2</v>
      </c>
      <c r="H8" s="13">
        <f t="shared" si="0"/>
        <v>1.9607843137254901</v>
      </c>
      <c r="I8" s="13">
        <f t="shared" si="0"/>
        <v>3.4482758620689657</v>
      </c>
      <c r="J8" s="14">
        <f t="shared" si="0"/>
        <v>5</v>
      </c>
      <c r="L8" s="22">
        <v>8</v>
      </c>
      <c r="M8" s="23" t="s">
        <v>145</v>
      </c>
      <c r="N8" s="24">
        <v>1.66</v>
      </c>
      <c r="P8" s="39" t="s">
        <v>34</v>
      </c>
      <c r="Q8" s="43">
        <f>ROUND(-(N8-1)*$E$21,2)</f>
        <v>-1.65</v>
      </c>
      <c r="R8" s="59" t="s">
        <v>15</v>
      </c>
      <c r="S8" s="46">
        <f t="shared" si="1"/>
        <v>-1</v>
      </c>
      <c r="X8" s="2">
        <f t="shared" si="2"/>
        <v>1.65</v>
      </c>
    </row>
    <row r="9" spans="2:24" x14ac:dyDescent="0.25">
      <c r="B9" s="9">
        <v>42707</v>
      </c>
      <c r="C9" s="7" t="s">
        <v>138</v>
      </c>
      <c r="D9" s="15" t="s">
        <v>2</v>
      </c>
      <c r="E9" s="11">
        <v>0.28000000000000003</v>
      </c>
      <c r="F9" s="11">
        <v>0.27</v>
      </c>
      <c r="G9" s="11">
        <v>0.45</v>
      </c>
      <c r="H9" s="13">
        <f t="shared" si="0"/>
        <v>3.5714285714285712</v>
      </c>
      <c r="I9" s="13">
        <f t="shared" si="0"/>
        <v>3.7037037037037033</v>
      </c>
      <c r="J9" s="14">
        <f t="shared" si="0"/>
        <v>2.2222222222222223</v>
      </c>
      <c r="L9" s="22">
        <v>7.4</v>
      </c>
      <c r="M9" s="23" t="s">
        <v>63</v>
      </c>
      <c r="N9" s="24">
        <v>2.36</v>
      </c>
      <c r="P9" s="39" t="s">
        <v>34</v>
      </c>
      <c r="Q9" s="43">
        <f>-$E$21</f>
        <v>-2.5</v>
      </c>
      <c r="R9" s="58" t="s">
        <v>19</v>
      </c>
      <c r="S9" s="46">
        <f t="shared" si="1"/>
        <v>-1</v>
      </c>
      <c r="X9" s="2">
        <f t="shared" si="2"/>
        <v>2.5</v>
      </c>
    </row>
    <row r="10" spans="2:24" x14ac:dyDescent="0.25">
      <c r="B10" s="9">
        <v>42707</v>
      </c>
      <c r="C10" s="7" t="s">
        <v>139</v>
      </c>
      <c r="D10" s="15" t="s">
        <v>15</v>
      </c>
      <c r="E10" s="11">
        <v>0.69</v>
      </c>
      <c r="F10" s="11">
        <v>0.19</v>
      </c>
      <c r="G10" s="11">
        <v>0.11</v>
      </c>
      <c r="H10" s="13">
        <f t="shared" si="0"/>
        <v>1.4492753623188408</v>
      </c>
      <c r="I10" s="13">
        <f t="shared" si="0"/>
        <v>5.2631578947368425</v>
      </c>
      <c r="J10" s="14">
        <f t="shared" si="0"/>
        <v>9.0909090909090917</v>
      </c>
      <c r="L10" s="22">
        <v>8.6</v>
      </c>
      <c r="M10" s="23" t="s">
        <v>146</v>
      </c>
      <c r="N10" s="24">
        <v>1.37</v>
      </c>
      <c r="P10" s="39" t="s">
        <v>34</v>
      </c>
      <c r="Q10" s="43">
        <f t="shared" ref="Q10" si="3">ROUND(-(N10-1)*$E$21,2)</f>
        <v>-0.93</v>
      </c>
      <c r="R10" s="58" t="s">
        <v>91</v>
      </c>
      <c r="S10" s="46">
        <f t="shared" si="1"/>
        <v>-1</v>
      </c>
      <c r="X10" s="2">
        <f t="shared" si="2"/>
        <v>0.93</v>
      </c>
    </row>
    <row r="11" spans="2:24" x14ac:dyDescent="0.25">
      <c r="B11" s="9">
        <v>42707</v>
      </c>
      <c r="C11" s="7" t="s">
        <v>140</v>
      </c>
      <c r="D11" s="10" t="s">
        <v>44</v>
      </c>
      <c r="E11" s="11">
        <v>0.45</v>
      </c>
      <c r="F11" s="11">
        <v>0.3</v>
      </c>
      <c r="G11" s="11">
        <v>0.26</v>
      </c>
      <c r="H11" s="13">
        <f t="shared" si="0"/>
        <v>2.2222222222222223</v>
      </c>
      <c r="I11" s="13">
        <f t="shared" si="0"/>
        <v>3.3333333333333335</v>
      </c>
      <c r="J11" s="14">
        <f t="shared" si="0"/>
        <v>3.8461538461538458</v>
      </c>
      <c r="L11" s="22">
        <v>7.4</v>
      </c>
      <c r="M11" s="23" t="s">
        <v>35</v>
      </c>
      <c r="N11" s="24"/>
      <c r="P11" s="39"/>
      <c r="Q11" s="43"/>
      <c r="R11" s="58" t="s">
        <v>48</v>
      </c>
      <c r="S11" s="46">
        <f t="shared" si="1"/>
        <v>-1</v>
      </c>
      <c r="X11" s="2" t="str">
        <f t="shared" si="2"/>
        <v/>
      </c>
    </row>
    <row r="12" spans="2:24" x14ac:dyDescent="0.25">
      <c r="B12" s="9">
        <v>42707</v>
      </c>
      <c r="C12" s="7" t="s">
        <v>141</v>
      </c>
      <c r="D12" s="15" t="s">
        <v>2</v>
      </c>
      <c r="E12" s="11">
        <v>0.22</v>
      </c>
      <c r="F12" s="11">
        <v>0.24</v>
      </c>
      <c r="G12" s="11">
        <v>0.54</v>
      </c>
      <c r="H12" s="13">
        <f t="shared" si="0"/>
        <v>4.5454545454545459</v>
      </c>
      <c r="I12" s="13">
        <f t="shared" si="0"/>
        <v>4.166666666666667</v>
      </c>
      <c r="J12" s="14">
        <f t="shared" si="0"/>
        <v>1.8518518518518516</v>
      </c>
      <c r="L12" s="22">
        <v>9.4</v>
      </c>
      <c r="M12" s="23" t="s">
        <v>78</v>
      </c>
      <c r="N12" s="24">
        <v>5</v>
      </c>
      <c r="P12" s="39" t="s">
        <v>34</v>
      </c>
      <c r="Q12" s="43">
        <f>-$E$21</f>
        <v>-2.5</v>
      </c>
      <c r="R12" s="58" t="s">
        <v>158</v>
      </c>
      <c r="S12" s="46">
        <f t="shared" si="1"/>
        <v>-1</v>
      </c>
      <c r="X12" s="2">
        <f t="shared" si="2"/>
        <v>2.5</v>
      </c>
    </row>
    <row r="13" spans="2:24" x14ac:dyDescent="0.25">
      <c r="B13" s="9">
        <v>42708</v>
      </c>
      <c r="C13" s="7" t="s">
        <v>142</v>
      </c>
      <c r="D13" s="15" t="s">
        <v>90</v>
      </c>
      <c r="E13" s="11">
        <v>0.21</v>
      </c>
      <c r="F13" s="11">
        <v>0.22</v>
      </c>
      <c r="G13" s="11">
        <v>0.56999999999999995</v>
      </c>
      <c r="H13" s="13">
        <f t="shared" si="0"/>
        <v>4.7619047619047619</v>
      </c>
      <c r="I13" s="13">
        <f t="shared" si="0"/>
        <v>4.5454545454545459</v>
      </c>
      <c r="J13" s="14">
        <f t="shared" si="0"/>
        <v>1.7543859649122808</v>
      </c>
      <c r="L13" s="22">
        <v>9.4</v>
      </c>
      <c r="M13" s="23" t="s">
        <v>35</v>
      </c>
      <c r="N13" s="24"/>
      <c r="P13" s="39"/>
      <c r="Q13" s="43"/>
      <c r="R13" s="58" t="s">
        <v>159</v>
      </c>
      <c r="S13" s="46">
        <f t="shared" si="1"/>
        <v>-1</v>
      </c>
      <c r="X13" s="2" t="str">
        <f t="shared" si="2"/>
        <v/>
      </c>
    </row>
    <row r="14" spans="2:24" x14ac:dyDescent="0.25">
      <c r="B14" s="9">
        <v>42708</v>
      </c>
      <c r="C14" s="7" t="s">
        <v>143</v>
      </c>
      <c r="D14" s="108" t="s">
        <v>160</v>
      </c>
      <c r="E14" s="109"/>
      <c r="F14" s="109"/>
      <c r="G14" s="109"/>
      <c r="H14" s="109"/>
      <c r="I14" s="109"/>
      <c r="J14" s="110"/>
      <c r="L14" s="22"/>
      <c r="M14" s="23"/>
      <c r="N14" s="24"/>
      <c r="P14" s="39"/>
      <c r="Q14" s="43"/>
      <c r="R14" s="58" t="s">
        <v>2</v>
      </c>
      <c r="S14" s="46"/>
      <c r="X14" s="2" t="str">
        <f t="shared" si="2"/>
        <v/>
      </c>
    </row>
    <row r="15" spans="2:24" x14ac:dyDescent="0.25">
      <c r="B15" s="9">
        <v>42708</v>
      </c>
      <c r="C15" s="7" t="s">
        <v>144</v>
      </c>
      <c r="D15" s="111"/>
      <c r="E15" s="112"/>
      <c r="F15" s="112"/>
      <c r="G15" s="112"/>
      <c r="H15" s="112"/>
      <c r="I15" s="112"/>
      <c r="J15" s="113"/>
      <c r="L15" s="22"/>
      <c r="M15" s="23"/>
      <c r="N15" s="24"/>
      <c r="P15" s="39"/>
      <c r="Q15" s="43"/>
      <c r="R15" s="58" t="s">
        <v>44</v>
      </c>
      <c r="S15" s="46"/>
      <c r="X15" s="2" t="str">
        <f t="shared" si="2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10.08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-10.08</v>
      </c>
      <c r="S23" s="2"/>
    </row>
    <row r="24" spans="4:24" s="3" customFormat="1" x14ac:dyDescent="0.25">
      <c r="D24" s="4" t="s">
        <v>41</v>
      </c>
      <c r="E24" s="4">
        <f>SUM(S:S)</f>
        <v>-8</v>
      </c>
      <c r="S24" s="2"/>
    </row>
    <row r="28" spans="4:24" x14ac:dyDescent="0.25">
      <c r="D28" s="3" t="s">
        <v>129</v>
      </c>
      <c r="E28" s="3">
        <f>COUNTIF(Q5:Q16,"&gt;0")</f>
        <v>0</v>
      </c>
    </row>
    <row r="29" spans="4:24" x14ac:dyDescent="0.25">
      <c r="D29" s="3" t="s">
        <v>130</v>
      </c>
      <c r="E29" s="3">
        <f>COUNTIF(S5:S16,"&gt;0")</f>
        <v>0</v>
      </c>
    </row>
    <row r="56" spans="19:19" s="3" customFormat="1" x14ac:dyDescent="0.25">
      <c r="S56" s="2"/>
    </row>
  </sheetData>
  <mergeCells count="6">
    <mergeCell ref="D14:J15"/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E1" zoomScale="93" zoomScaleNormal="93" zoomScalePageLayoutView="93" workbookViewId="0">
      <selection activeCell="S9" sqref="S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customWidth="1"/>
    <col min="4" max="4" width="30" style="3" customWidth="1"/>
    <col min="5" max="10" width="8.85546875" style="3" customWidth="1"/>
    <col min="11" max="11" width="2.42578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62" t="s">
        <v>4</v>
      </c>
      <c r="D3" s="62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42700</v>
      </c>
      <c r="C6" s="7" t="s">
        <v>110</v>
      </c>
      <c r="D6" s="15" t="s">
        <v>21</v>
      </c>
      <c r="E6" s="11">
        <v>0.12</v>
      </c>
      <c r="F6" s="11">
        <v>0.21</v>
      </c>
      <c r="G6" s="11">
        <v>0.67</v>
      </c>
      <c r="H6" s="13">
        <f t="shared" ref="H6:J6" si="0">(1/E6)</f>
        <v>8.3333333333333339</v>
      </c>
      <c r="I6" s="13">
        <f t="shared" si="0"/>
        <v>4.7619047619047619</v>
      </c>
      <c r="J6" s="14">
        <f t="shared" si="0"/>
        <v>1.4925373134328357</v>
      </c>
      <c r="L6" s="22">
        <v>11</v>
      </c>
      <c r="M6" s="23" t="s">
        <v>96</v>
      </c>
      <c r="N6" s="24">
        <v>1.35</v>
      </c>
      <c r="P6" s="39" t="s">
        <v>34</v>
      </c>
      <c r="Q6" s="43">
        <f>ROUND(-(N6-1)*$E$21,2)</f>
        <v>-0.88</v>
      </c>
      <c r="R6" s="59" t="s">
        <v>90</v>
      </c>
      <c r="S6" s="46">
        <f>-$E$22</f>
        <v>-1</v>
      </c>
      <c r="X6" s="2">
        <f>IF(ISBLANK(P6),"",ROUND(IF(LEFT(M6,3)="Lay",(N6-1)*$E$21,$E$21),2))</f>
        <v>0.88</v>
      </c>
    </row>
    <row r="7" spans="2:24" x14ac:dyDescent="0.25">
      <c r="B7" s="9">
        <v>42700</v>
      </c>
      <c r="C7" s="7" t="s">
        <v>111</v>
      </c>
      <c r="D7" s="15" t="s">
        <v>21</v>
      </c>
      <c r="E7" s="11">
        <v>0.25</v>
      </c>
      <c r="F7" s="11">
        <v>0.28999999999999998</v>
      </c>
      <c r="G7" s="11">
        <v>0.46</v>
      </c>
      <c r="H7" s="13">
        <f t="shared" ref="H7" si="1">(1/E7)</f>
        <v>4</v>
      </c>
      <c r="I7" s="13">
        <f t="shared" ref="I7" si="2">(1/F7)</f>
        <v>3.4482758620689657</v>
      </c>
      <c r="J7" s="14">
        <f t="shared" ref="J7" si="3">(1/G7)</f>
        <v>2.1739130434782608</v>
      </c>
      <c r="L7" s="22">
        <v>8.1999999999999993</v>
      </c>
      <c r="M7" s="23" t="s">
        <v>121</v>
      </c>
      <c r="N7" s="24">
        <v>2.6</v>
      </c>
      <c r="P7" s="39" t="s">
        <v>34</v>
      </c>
      <c r="Q7" s="43">
        <f>-$E$21</f>
        <v>-2.5</v>
      </c>
      <c r="R7" s="59" t="s">
        <v>2</v>
      </c>
      <c r="S7" s="46">
        <f t="shared" ref="S7:S14" si="4">-$E$22</f>
        <v>-1</v>
      </c>
      <c r="X7" s="2">
        <f t="shared" ref="X7:X15" si="5">IF(ISBLANK(P7),"",ROUND(IF(LEFT(M7,3)="Lay",(N7-1)*$E$21,$E$21),2))</f>
        <v>2.5</v>
      </c>
    </row>
    <row r="8" spans="2:24" x14ac:dyDescent="0.25">
      <c r="B8" s="9">
        <v>42700</v>
      </c>
      <c r="C8" s="7" t="s">
        <v>112</v>
      </c>
      <c r="D8" s="10" t="s">
        <v>44</v>
      </c>
      <c r="E8" s="11">
        <v>0.5</v>
      </c>
      <c r="F8" s="11">
        <v>0.31</v>
      </c>
      <c r="G8" s="11">
        <v>0.19</v>
      </c>
      <c r="H8" s="13">
        <f t="shared" ref="H8" si="6">(1/E8)</f>
        <v>2</v>
      </c>
      <c r="I8" s="13">
        <f t="shared" ref="I8" si="7">(1/F8)</f>
        <v>3.2258064516129035</v>
      </c>
      <c r="J8" s="14">
        <f t="shared" ref="J8" si="8">(1/G8)</f>
        <v>5.2631578947368425</v>
      </c>
      <c r="L8" s="22">
        <v>7.6</v>
      </c>
      <c r="M8" s="23" t="s">
        <v>61</v>
      </c>
      <c r="N8" s="24">
        <v>3.6</v>
      </c>
      <c r="P8" s="39" t="s">
        <v>89</v>
      </c>
      <c r="Q8" s="43">
        <f>ROUND(((N8-1)*$E$21)*0.95,2)</f>
        <v>6.18</v>
      </c>
      <c r="R8" s="59" t="s">
        <v>124</v>
      </c>
      <c r="S8" s="46">
        <f t="shared" si="4"/>
        <v>-1</v>
      </c>
      <c r="X8" s="2">
        <f t="shared" si="5"/>
        <v>2.5</v>
      </c>
    </row>
    <row r="9" spans="2:24" x14ac:dyDescent="0.25">
      <c r="B9" s="9">
        <v>42700</v>
      </c>
      <c r="C9" s="7" t="s">
        <v>113</v>
      </c>
      <c r="D9" s="10" t="s">
        <v>15</v>
      </c>
      <c r="E9" s="11">
        <v>0.74</v>
      </c>
      <c r="F9" s="11">
        <v>0.16</v>
      </c>
      <c r="G9" s="11">
        <v>0.1</v>
      </c>
      <c r="H9" s="13">
        <f t="shared" ref="H9:H15" si="9">(1/E9)</f>
        <v>1.3513513513513513</v>
      </c>
      <c r="I9" s="13">
        <f t="shared" ref="I9:I15" si="10">(1/F9)</f>
        <v>6.25</v>
      </c>
      <c r="J9" s="14">
        <f t="shared" ref="J9:J15" si="11">(1/G9)</f>
        <v>10</v>
      </c>
      <c r="L9" s="22">
        <v>9</v>
      </c>
      <c r="M9" s="23" t="s">
        <v>64</v>
      </c>
      <c r="N9" s="24">
        <v>1.21</v>
      </c>
      <c r="P9" s="39" t="s">
        <v>34</v>
      </c>
      <c r="Q9" s="43">
        <f>ROUND(-(N9-1)*$E$21,2)</f>
        <v>-0.53</v>
      </c>
      <c r="R9" s="58" t="s">
        <v>15</v>
      </c>
      <c r="S9" s="46">
        <f t="shared" ref="S9:S15" si="12">$E$22*(L9-1)*0.95</f>
        <v>7.6</v>
      </c>
      <c r="X9" s="2">
        <f t="shared" si="5"/>
        <v>0.53</v>
      </c>
    </row>
    <row r="10" spans="2:24" x14ac:dyDescent="0.25">
      <c r="B10" s="9">
        <v>42700</v>
      </c>
      <c r="C10" s="7" t="s">
        <v>114</v>
      </c>
      <c r="D10" s="15" t="s">
        <v>2</v>
      </c>
      <c r="E10" s="11">
        <v>0.44</v>
      </c>
      <c r="F10" s="11">
        <v>0.28000000000000003</v>
      </c>
      <c r="G10" s="11">
        <v>0.28000000000000003</v>
      </c>
      <c r="H10" s="13">
        <f t="shared" si="9"/>
        <v>2.2727272727272729</v>
      </c>
      <c r="I10" s="13">
        <f t="shared" si="10"/>
        <v>3.5714285714285712</v>
      </c>
      <c r="J10" s="14">
        <f t="shared" si="11"/>
        <v>3.5714285714285712</v>
      </c>
      <c r="L10" s="22">
        <v>7.4</v>
      </c>
      <c r="M10" s="23" t="s">
        <v>122</v>
      </c>
      <c r="N10" s="24">
        <v>2.72</v>
      </c>
      <c r="P10" s="39" t="s">
        <v>89</v>
      </c>
      <c r="Q10" s="43">
        <f>ROUND(((N10-1)*$E$21)*0.95,2)</f>
        <v>4.09</v>
      </c>
      <c r="R10" s="58" t="s">
        <v>125</v>
      </c>
      <c r="S10" s="46">
        <f t="shared" si="4"/>
        <v>-1</v>
      </c>
      <c r="X10" s="2">
        <f t="shared" si="5"/>
        <v>2.5</v>
      </c>
    </row>
    <row r="11" spans="2:24" x14ac:dyDescent="0.25">
      <c r="B11" s="9">
        <v>42700</v>
      </c>
      <c r="C11" s="7" t="s">
        <v>115</v>
      </c>
      <c r="D11" s="15" t="s">
        <v>2</v>
      </c>
      <c r="E11" s="11">
        <v>0.46</v>
      </c>
      <c r="F11" s="11">
        <v>0.27</v>
      </c>
      <c r="G11" s="11">
        <v>0.27</v>
      </c>
      <c r="H11" s="13">
        <f t="shared" si="9"/>
        <v>2.1739130434782608</v>
      </c>
      <c r="I11" s="13">
        <f t="shared" si="10"/>
        <v>3.7037037037037033</v>
      </c>
      <c r="J11" s="14">
        <f t="shared" si="11"/>
        <v>3.7037037037037033</v>
      </c>
      <c r="L11" s="22">
        <v>8.6</v>
      </c>
      <c r="M11" s="23" t="s">
        <v>13</v>
      </c>
      <c r="N11" s="24">
        <v>1.81</v>
      </c>
      <c r="P11" s="39" t="s">
        <v>34</v>
      </c>
      <c r="Q11" s="43">
        <f>ROUND(-(N11-1)*$E$21,2)</f>
        <v>-2.0299999999999998</v>
      </c>
      <c r="R11" s="58" t="s">
        <v>19</v>
      </c>
      <c r="S11" s="46">
        <f t="shared" si="4"/>
        <v>-1</v>
      </c>
      <c r="X11" s="2">
        <f t="shared" si="5"/>
        <v>2.0299999999999998</v>
      </c>
    </row>
    <row r="12" spans="2:24" x14ac:dyDescent="0.25">
      <c r="B12" s="9">
        <v>42701</v>
      </c>
      <c r="C12" s="7" t="s">
        <v>116</v>
      </c>
      <c r="D12" s="15" t="s">
        <v>2</v>
      </c>
      <c r="E12" s="11">
        <v>0.47</v>
      </c>
      <c r="F12" s="11">
        <v>0.27</v>
      </c>
      <c r="G12" s="11">
        <v>0.26</v>
      </c>
      <c r="H12" s="13">
        <f t="shared" si="9"/>
        <v>2.1276595744680851</v>
      </c>
      <c r="I12" s="13">
        <f t="shared" si="10"/>
        <v>3.7037037037037033</v>
      </c>
      <c r="J12" s="14">
        <f t="shared" si="11"/>
        <v>3.8461538461538458</v>
      </c>
      <c r="L12" s="22">
        <v>7.4</v>
      </c>
      <c r="M12" s="23" t="s">
        <v>123</v>
      </c>
      <c r="N12" s="24">
        <v>2.46</v>
      </c>
      <c r="P12" s="39" t="s">
        <v>34</v>
      </c>
      <c r="Q12" s="43">
        <f>-$E$21</f>
        <v>-2.5</v>
      </c>
      <c r="R12" s="58" t="s">
        <v>21</v>
      </c>
      <c r="S12" s="46">
        <f t="shared" si="4"/>
        <v>-1</v>
      </c>
      <c r="X12" s="2">
        <f t="shared" si="5"/>
        <v>2.5</v>
      </c>
    </row>
    <row r="13" spans="2:24" x14ac:dyDescent="0.25">
      <c r="B13" s="9">
        <v>42701</v>
      </c>
      <c r="C13" s="7" t="s">
        <v>117</v>
      </c>
      <c r="D13" s="15" t="s">
        <v>15</v>
      </c>
      <c r="E13" s="11">
        <v>0.77</v>
      </c>
      <c r="F13" s="11">
        <v>0.15</v>
      </c>
      <c r="G13" s="11">
        <v>0.08</v>
      </c>
      <c r="H13" s="13">
        <f t="shared" si="9"/>
        <v>1.2987012987012987</v>
      </c>
      <c r="I13" s="13">
        <f t="shared" si="10"/>
        <v>6.666666666666667</v>
      </c>
      <c r="J13" s="14">
        <f t="shared" si="11"/>
        <v>12.5</v>
      </c>
      <c r="L13" s="22">
        <v>8.8000000000000007</v>
      </c>
      <c r="M13" s="23" t="s">
        <v>94</v>
      </c>
      <c r="N13" s="24">
        <v>1.44</v>
      </c>
      <c r="P13" s="39" t="s">
        <v>89</v>
      </c>
      <c r="Q13" s="43">
        <f>ROUND(((N13-1)*$E$21)*0.95,2)</f>
        <v>1.05</v>
      </c>
      <c r="R13" s="58" t="s">
        <v>48</v>
      </c>
      <c r="S13" s="46">
        <f t="shared" si="4"/>
        <v>-1</v>
      </c>
      <c r="X13" s="2">
        <f t="shared" si="5"/>
        <v>2.5</v>
      </c>
    </row>
    <row r="14" spans="2:24" x14ac:dyDescent="0.25">
      <c r="B14" s="9">
        <v>42701</v>
      </c>
      <c r="C14" s="7" t="s">
        <v>118</v>
      </c>
      <c r="D14" s="15" t="s">
        <v>44</v>
      </c>
      <c r="E14" s="11">
        <v>0.57999999999999996</v>
      </c>
      <c r="F14" s="11">
        <v>0.24</v>
      </c>
      <c r="G14" s="11">
        <v>0.18</v>
      </c>
      <c r="H14" s="13">
        <f t="shared" si="9"/>
        <v>1.7241379310344829</v>
      </c>
      <c r="I14" s="13">
        <f t="shared" si="10"/>
        <v>4.166666666666667</v>
      </c>
      <c r="J14" s="14">
        <f t="shared" si="11"/>
        <v>5.5555555555555554</v>
      </c>
      <c r="L14" s="22">
        <v>8.6</v>
      </c>
      <c r="M14" s="23" t="s">
        <v>80</v>
      </c>
      <c r="N14" s="24">
        <v>1.5</v>
      </c>
      <c r="P14" s="39" t="s">
        <v>89</v>
      </c>
      <c r="Q14" s="43">
        <f>ROUND($E$21*0.95,2)</f>
        <v>2.38</v>
      </c>
      <c r="R14" s="58" t="s">
        <v>2</v>
      </c>
      <c r="S14" s="46">
        <f t="shared" si="4"/>
        <v>-1</v>
      </c>
      <c r="X14" s="2">
        <f t="shared" si="5"/>
        <v>1.25</v>
      </c>
    </row>
    <row r="15" spans="2:24" x14ac:dyDescent="0.25">
      <c r="B15" s="9">
        <v>42701</v>
      </c>
      <c r="C15" s="7" t="s">
        <v>119</v>
      </c>
      <c r="D15" s="15" t="s">
        <v>44</v>
      </c>
      <c r="E15" s="11">
        <v>0.52</v>
      </c>
      <c r="F15" s="11">
        <v>0.27</v>
      </c>
      <c r="G15" s="11">
        <v>0.21</v>
      </c>
      <c r="H15" s="13">
        <f t="shared" si="9"/>
        <v>1.9230769230769229</v>
      </c>
      <c r="I15" s="13">
        <f t="shared" si="10"/>
        <v>3.7037037037037033</v>
      </c>
      <c r="J15" s="14">
        <f t="shared" si="11"/>
        <v>4.7619047619047619</v>
      </c>
      <c r="L15" s="22">
        <v>8</v>
      </c>
      <c r="M15" s="23" t="s">
        <v>79</v>
      </c>
      <c r="N15" s="24">
        <v>2.2000000000000002</v>
      </c>
      <c r="P15" s="39" t="s">
        <v>89</v>
      </c>
      <c r="Q15" s="43">
        <f>ROUND(((N15-1)*$E$21)*0.95,2)</f>
        <v>2.85</v>
      </c>
      <c r="R15" s="58" t="s">
        <v>44</v>
      </c>
      <c r="S15" s="46">
        <f t="shared" si="12"/>
        <v>6.6499999999999995</v>
      </c>
      <c r="X15" s="2">
        <f t="shared" si="5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19.689999999999998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8.11</v>
      </c>
      <c r="S23" s="2"/>
    </row>
    <row r="24" spans="4:24" s="3" customFormat="1" x14ac:dyDescent="0.25">
      <c r="D24" s="4" t="s">
        <v>41</v>
      </c>
      <c r="E24" s="4">
        <f>SUM(S:S)</f>
        <v>6.2499999999999991</v>
      </c>
      <c r="S24" s="2"/>
    </row>
    <row r="28" spans="4:24" x14ac:dyDescent="0.25">
      <c r="D28" s="3" t="s">
        <v>129</v>
      </c>
      <c r="E28" s="3">
        <f>COUNTIF(Q5:Q16,"&gt;0")</f>
        <v>5</v>
      </c>
    </row>
    <row r="29" spans="4:24" x14ac:dyDescent="0.25">
      <c r="D29" s="3" t="s">
        <v>130</v>
      </c>
      <c r="E29" s="3">
        <f>COUNTIF(S5:S16,"&gt;0")</f>
        <v>2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S15" activeCellId="1" sqref="S8:S13 S15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30" style="3" bestFit="1" customWidth="1"/>
    <col min="5" max="10" width="8.85546875" style="3" customWidth="1"/>
    <col min="11" max="11" width="2.42578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bestFit="1" customWidth="1"/>
    <col min="19" max="19" width="22.85546875" style="2" bestFit="1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61" t="s">
        <v>4</v>
      </c>
      <c r="D3" s="61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42693</v>
      </c>
      <c r="C6" s="7" t="s">
        <v>93</v>
      </c>
      <c r="D6" s="15" t="s">
        <v>2</v>
      </c>
      <c r="E6" s="11">
        <v>0.34</v>
      </c>
      <c r="F6" s="11">
        <v>0.28999999999999998</v>
      </c>
      <c r="G6" s="11">
        <v>0.37</v>
      </c>
      <c r="H6" s="13">
        <f t="shared" ref="H6:J15" si="0">(1/E6)</f>
        <v>2.9411764705882351</v>
      </c>
      <c r="I6" s="13">
        <f t="shared" si="0"/>
        <v>3.4482758620689657</v>
      </c>
      <c r="J6" s="14">
        <f t="shared" si="0"/>
        <v>2.7027027027027026</v>
      </c>
      <c r="L6" s="22">
        <v>7.2</v>
      </c>
      <c r="M6" s="23" t="s">
        <v>94</v>
      </c>
      <c r="N6" s="24">
        <v>3.05</v>
      </c>
      <c r="P6" s="39" t="s">
        <v>34</v>
      </c>
      <c r="Q6" s="43">
        <f>-$E$21</f>
        <v>-2.5</v>
      </c>
      <c r="R6" s="59" t="s">
        <v>2</v>
      </c>
      <c r="S6" s="46">
        <f>$E$22*(L6-1)*0.95</f>
        <v>5.89</v>
      </c>
      <c r="X6" s="2">
        <f>IF(ISBLANK(P6),"",ROUND(IF(LEFT(M6,3)="Lay",(N6-1)*$E$21,$E$21),2))</f>
        <v>2.5</v>
      </c>
    </row>
    <row r="7" spans="2:24" x14ac:dyDescent="0.25">
      <c r="B7" s="9">
        <v>42693</v>
      </c>
      <c r="C7" s="7" t="s">
        <v>95</v>
      </c>
      <c r="D7" s="10" t="s">
        <v>90</v>
      </c>
      <c r="E7" s="11">
        <v>0.18</v>
      </c>
      <c r="F7" s="11">
        <v>0.22</v>
      </c>
      <c r="G7" s="11">
        <v>0.6</v>
      </c>
      <c r="H7" s="13">
        <f t="shared" si="0"/>
        <v>5.5555555555555554</v>
      </c>
      <c r="I7" s="13">
        <f t="shared" si="0"/>
        <v>4.5454545454545459</v>
      </c>
      <c r="J7" s="14">
        <f t="shared" si="0"/>
        <v>1.6666666666666667</v>
      </c>
      <c r="L7" s="22">
        <v>9.6</v>
      </c>
      <c r="M7" s="23" t="s">
        <v>96</v>
      </c>
      <c r="N7" s="24">
        <v>1.59</v>
      </c>
      <c r="P7" s="39" t="s">
        <v>34</v>
      </c>
      <c r="Q7" s="43">
        <f>ROUND(-(N7-1)*$E$21,2)</f>
        <v>-1.48</v>
      </c>
      <c r="R7" s="59" t="s">
        <v>90</v>
      </c>
      <c r="S7" s="46">
        <f>$E$22*(L7-1)*0.95</f>
        <v>8.17</v>
      </c>
      <c r="X7" s="2">
        <f t="shared" ref="X7:X15" si="1">IF(ISBLANK(P7),"",ROUND(IF(LEFT(M7,3)="Lay",(N7-1)*$E$21,$E$21),2))</f>
        <v>1.48</v>
      </c>
    </row>
    <row r="8" spans="2:24" x14ac:dyDescent="0.25">
      <c r="B8" s="9">
        <v>42693</v>
      </c>
      <c r="C8" s="7" t="s">
        <v>97</v>
      </c>
      <c r="D8" s="10" t="s">
        <v>44</v>
      </c>
      <c r="E8" s="11">
        <v>0.55000000000000004</v>
      </c>
      <c r="F8" s="11">
        <v>0.25</v>
      </c>
      <c r="G8" s="11">
        <v>0.2</v>
      </c>
      <c r="H8" s="13">
        <f t="shared" si="0"/>
        <v>1.8181818181818181</v>
      </c>
      <c r="I8" s="13">
        <f t="shared" si="0"/>
        <v>4</v>
      </c>
      <c r="J8" s="14">
        <f t="shared" si="0"/>
        <v>5</v>
      </c>
      <c r="L8" s="22">
        <v>9</v>
      </c>
      <c r="M8" s="23" t="s">
        <v>98</v>
      </c>
      <c r="N8" s="24">
        <v>1.62</v>
      </c>
      <c r="P8" s="39" t="s">
        <v>89</v>
      </c>
      <c r="Q8" s="43">
        <f>ROUND($E$21*0.95,2)</f>
        <v>2.38</v>
      </c>
      <c r="R8" s="59" t="s">
        <v>2</v>
      </c>
      <c r="S8" s="46">
        <f>-$E$22</f>
        <v>-1</v>
      </c>
      <c r="X8" s="2">
        <f t="shared" si="1"/>
        <v>1.55</v>
      </c>
    </row>
    <row r="9" spans="2:24" x14ac:dyDescent="0.25">
      <c r="B9" s="9">
        <v>42693</v>
      </c>
      <c r="C9" s="7" t="s">
        <v>99</v>
      </c>
      <c r="D9" s="10" t="s">
        <v>2</v>
      </c>
      <c r="E9" s="11">
        <v>0.33</v>
      </c>
      <c r="F9" s="11">
        <v>0.26</v>
      </c>
      <c r="G9" s="11">
        <v>0.41</v>
      </c>
      <c r="H9" s="13">
        <f t="shared" si="0"/>
        <v>3.0303030303030303</v>
      </c>
      <c r="I9" s="13">
        <f t="shared" si="0"/>
        <v>3.8461538461538458</v>
      </c>
      <c r="J9" s="14">
        <f t="shared" si="0"/>
        <v>2.4390243902439024</v>
      </c>
      <c r="L9" s="22">
        <v>7.6</v>
      </c>
      <c r="M9" s="23" t="s">
        <v>79</v>
      </c>
      <c r="N9" s="24">
        <v>3.4</v>
      </c>
      <c r="P9" s="39" t="s">
        <v>34</v>
      </c>
      <c r="Q9" s="43">
        <f>-$E$21</f>
        <v>-2.5</v>
      </c>
      <c r="R9" s="58" t="s">
        <v>51</v>
      </c>
      <c r="S9" s="46">
        <f t="shared" ref="S9:S15" si="2">-$E$22</f>
        <v>-1</v>
      </c>
      <c r="X9" s="2">
        <f t="shared" si="1"/>
        <v>2.5</v>
      </c>
    </row>
    <row r="10" spans="2:24" x14ac:dyDescent="0.25">
      <c r="B10" s="9">
        <v>42693</v>
      </c>
      <c r="C10" s="7" t="s">
        <v>100</v>
      </c>
      <c r="D10" s="15" t="s">
        <v>2</v>
      </c>
      <c r="E10" s="11">
        <v>0.49</v>
      </c>
      <c r="F10" s="11">
        <v>0.26</v>
      </c>
      <c r="G10" s="11">
        <v>0.25</v>
      </c>
      <c r="H10" s="13">
        <f t="shared" si="0"/>
        <v>2.0408163265306123</v>
      </c>
      <c r="I10" s="13">
        <f t="shared" si="0"/>
        <v>3.8461538461538458</v>
      </c>
      <c r="J10" s="14">
        <f t="shared" si="0"/>
        <v>4</v>
      </c>
      <c r="L10" s="22">
        <v>7.6</v>
      </c>
      <c r="M10" s="23" t="s">
        <v>101</v>
      </c>
      <c r="N10" s="24">
        <v>2.3199999999999998</v>
      </c>
      <c r="P10" s="39" t="s">
        <v>34</v>
      </c>
      <c r="Q10" s="43">
        <f>-$E$21</f>
        <v>-2.5</v>
      </c>
      <c r="R10" s="58" t="s">
        <v>21</v>
      </c>
      <c r="S10" s="46">
        <f t="shared" si="2"/>
        <v>-1</v>
      </c>
      <c r="X10" s="2">
        <f t="shared" si="1"/>
        <v>2.5</v>
      </c>
    </row>
    <row r="11" spans="2:24" x14ac:dyDescent="0.25">
      <c r="B11" s="9">
        <v>42693</v>
      </c>
      <c r="C11" s="7" t="s">
        <v>102</v>
      </c>
      <c r="D11" s="15" t="s">
        <v>44</v>
      </c>
      <c r="E11" s="11">
        <v>0.55000000000000004</v>
      </c>
      <c r="F11" s="11">
        <v>0.25</v>
      </c>
      <c r="G11" s="11">
        <v>0.2</v>
      </c>
      <c r="H11" s="13">
        <f t="shared" si="0"/>
        <v>1.8181818181818181</v>
      </c>
      <c r="I11" s="13">
        <f t="shared" si="0"/>
        <v>4</v>
      </c>
      <c r="J11" s="14">
        <f t="shared" si="0"/>
        <v>5</v>
      </c>
      <c r="L11" s="22">
        <v>8</v>
      </c>
      <c r="M11" s="23" t="s">
        <v>26</v>
      </c>
      <c r="N11" s="24">
        <v>2.1800000000000002</v>
      </c>
      <c r="P11" s="39" t="s">
        <v>89</v>
      </c>
      <c r="Q11" s="43">
        <f>ROUND(((N11-1)*$E$21)*0.95,2)</f>
        <v>2.8</v>
      </c>
      <c r="R11" s="58" t="s">
        <v>29</v>
      </c>
      <c r="S11" s="46">
        <f t="shared" si="2"/>
        <v>-1</v>
      </c>
      <c r="X11" s="2">
        <f t="shared" si="1"/>
        <v>2.5</v>
      </c>
    </row>
    <row r="12" spans="2:24" x14ac:dyDescent="0.25">
      <c r="B12" s="9">
        <v>42693</v>
      </c>
      <c r="C12" s="7" t="s">
        <v>103</v>
      </c>
      <c r="D12" s="15" t="s">
        <v>2</v>
      </c>
      <c r="E12" s="11">
        <v>0.28999999999999998</v>
      </c>
      <c r="F12" s="11">
        <v>0.27</v>
      </c>
      <c r="G12" s="11">
        <v>0.44</v>
      </c>
      <c r="H12" s="13">
        <f t="shared" si="0"/>
        <v>3.4482758620689657</v>
      </c>
      <c r="I12" s="13">
        <f t="shared" si="0"/>
        <v>3.7037037037037033</v>
      </c>
      <c r="J12" s="14">
        <f t="shared" si="0"/>
        <v>2.2727272727272729</v>
      </c>
      <c r="L12" s="22">
        <v>7.4</v>
      </c>
      <c r="M12" s="23" t="s">
        <v>63</v>
      </c>
      <c r="N12" s="24">
        <v>2.78</v>
      </c>
      <c r="P12" s="39" t="s">
        <v>34</v>
      </c>
      <c r="Q12" s="43">
        <f>-$E$21</f>
        <v>-2.5</v>
      </c>
      <c r="R12" s="58" t="s">
        <v>19</v>
      </c>
      <c r="S12" s="46">
        <f t="shared" si="2"/>
        <v>-1</v>
      </c>
      <c r="X12" s="2">
        <f t="shared" si="1"/>
        <v>2.5</v>
      </c>
    </row>
    <row r="13" spans="2:24" x14ac:dyDescent="0.25">
      <c r="B13" s="9">
        <v>42693</v>
      </c>
      <c r="C13" s="7" t="s">
        <v>104</v>
      </c>
      <c r="D13" s="15" t="s">
        <v>44</v>
      </c>
      <c r="E13" s="11">
        <v>0.66</v>
      </c>
      <c r="F13" s="11">
        <v>0.21</v>
      </c>
      <c r="G13" s="11">
        <v>0.13</v>
      </c>
      <c r="H13" s="13">
        <f t="shared" si="0"/>
        <v>1.5151515151515151</v>
      </c>
      <c r="I13" s="13">
        <f t="shared" si="0"/>
        <v>4.7619047619047619</v>
      </c>
      <c r="J13" s="14">
        <f t="shared" si="0"/>
        <v>7.6923076923076916</v>
      </c>
      <c r="L13" s="22">
        <v>8.6</v>
      </c>
      <c r="M13" s="23" t="s">
        <v>35</v>
      </c>
      <c r="N13" s="24"/>
      <c r="P13" s="39"/>
      <c r="Q13" s="43"/>
      <c r="R13" s="58" t="s">
        <v>30</v>
      </c>
      <c r="S13" s="46">
        <f t="shared" si="2"/>
        <v>-1</v>
      </c>
      <c r="X13" s="2" t="str">
        <f t="shared" si="1"/>
        <v/>
      </c>
    </row>
    <row r="14" spans="2:24" x14ac:dyDescent="0.25">
      <c r="B14" s="9">
        <v>42694</v>
      </c>
      <c r="C14" s="7" t="s">
        <v>105</v>
      </c>
      <c r="D14" s="15" t="s">
        <v>21</v>
      </c>
      <c r="E14" s="11">
        <v>0.24</v>
      </c>
      <c r="F14" s="11">
        <v>0.31</v>
      </c>
      <c r="G14" s="11">
        <v>0.45</v>
      </c>
      <c r="H14" s="13">
        <f t="shared" si="0"/>
        <v>4.166666666666667</v>
      </c>
      <c r="I14" s="13">
        <f t="shared" si="0"/>
        <v>3.2258064516129035</v>
      </c>
      <c r="J14" s="14">
        <f t="shared" si="0"/>
        <v>2.2222222222222223</v>
      </c>
      <c r="L14" s="22">
        <v>7.4</v>
      </c>
      <c r="M14" s="23" t="s">
        <v>13</v>
      </c>
      <c r="N14" s="24">
        <v>1.6</v>
      </c>
      <c r="P14" s="39" t="s">
        <v>34</v>
      </c>
      <c r="Q14" s="43">
        <f>ROUND(-(N14-1)*$E$21,2)</f>
        <v>-1.5</v>
      </c>
      <c r="R14" s="58" t="s">
        <v>21</v>
      </c>
      <c r="S14" s="46">
        <f>$E$22*(L14-1)*0.95</f>
        <v>6.08</v>
      </c>
      <c r="X14" s="2">
        <f t="shared" si="1"/>
        <v>1.5</v>
      </c>
    </row>
    <row r="15" spans="2:24" x14ac:dyDescent="0.25">
      <c r="B15" s="9">
        <v>42695</v>
      </c>
      <c r="C15" s="7" t="s">
        <v>106</v>
      </c>
      <c r="D15" s="15" t="s">
        <v>44</v>
      </c>
      <c r="E15" s="11">
        <v>0.43</v>
      </c>
      <c r="F15" s="11">
        <v>0.33</v>
      </c>
      <c r="G15" s="11">
        <v>0.24</v>
      </c>
      <c r="H15" s="13">
        <f t="shared" si="0"/>
        <v>2.3255813953488373</v>
      </c>
      <c r="I15" s="13">
        <f t="shared" si="0"/>
        <v>3.0303030303030303</v>
      </c>
      <c r="J15" s="14">
        <f t="shared" si="0"/>
        <v>4.166666666666667</v>
      </c>
      <c r="L15" s="22">
        <v>7</v>
      </c>
      <c r="M15" s="23" t="s">
        <v>107</v>
      </c>
      <c r="N15" s="24">
        <v>1.97</v>
      </c>
      <c r="P15" s="39" t="s">
        <v>34</v>
      </c>
      <c r="Q15" s="43">
        <f>ROUND(-(N15-1)*$E$21,2)</f>
        <v>-2.4300000000000002</v>
      </c>
      <c r="R15" s="58" t="s">
        <v>108</v>
      </c>
      <c r="S15" s="46">
        <f t="shared" si="2"/>
        <v>-1</v>
      </c>
      <c r="X15" s="2">
        <f t="shared" si="1"/>
        <v>2.4300000000000002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19.46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-10.23</v>
      </c>
      <c r="S23" s="2"/>
    </row>
    <row r="24" spans="4:24" s="3" customFormat="1" x14ac:dyDescent="0.25">
      <c r="D24" s="4" t="s">
        <v>41</v>
      </c>
      <c r="E24" s="4">
        <f>SUM(S:S)</f>
        <v>13.139999999999999</v>
      </c>
      <c r="S24" s="2"/>
    </row>
    <row r="28" spans="4:24" x14ac:dyDescent="0.25">
      <c r="D28" s="3" t="s">
        <v>129</v>
      </c>
      <c r="E28" s="3">
        <f>COUNTIF(Q5:Q16,"&gt;0")</f>
        <v>2</v>
      </c>
    </row>
    <row r="29" spans="4:24" x14ac:dyDescent="0.25">
      <c r="D29" s="3" t="s">
        <v>130</v>
      </c>
      <c r="E29" s="3">
        <f>COUNTIF(S5:S16,"&gt;0")</f>
        <v>3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Q11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30" style="3" bestFit="1" customWidth="1"/>
    <col min="5" max="9" width="8.85546875" style="3"/>
    <col min="10" max="10" width="8.85546875" style="3" customWidth="1"/>
    <col min="11" max="11" width="2.42578125" style="3" customWidth="1"/>
    <col min="12" max="12" width="31.85546875" style="3" bestFit="1" customWidth="1"/>
    <col min="13" max="13" width="22.140625" style="3" bestFit="1" customWidth="1"/>
    <col min="14" max="14" width="14" style="3" bestFit="1" customWidth="1"/>
    <col min="15" max="15" width="2.42578125" style="3" customWidth="1"/>
    <col min="16" max="16" width="15.85546875" style="3" bestFit="1" customWidth="1"/>
    <col min="17" max="17" width="18.42578125" style="3" bestFit="1" customWidth="1"/>
    <col min="18" max="18" width="8.85546875" style="3"/>
    <col min="19" max="19" width="19.140625" style="2" bestFit="1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55" t="s">
        <v>4</v>
      </c>
      <c r="D3" s="55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42679</v>
      </c>
      <c r="C6" s="7" t="s">
        <v>65</v>
      </c>
      <c r="D6" s="15" t="s">
        <v>2</v>
      </c>
      <c r="E6" s="11">
        <v>0.5</v>
      </c>
      <c r="F6" s="11">
        <v>0.26</v>
      </c>
      <c r="G6" s="11">
        <v>0.24</v>
      </c>
      <c r="H6" s="13">
        <f t="shared" ref="H6:J15" si="0">(1/E6)</f>
        <v>2</v>
      </c>
      <c r="I6" s="13">
        <f t="shared" si="0"/>
        <v>3.8461538461538458</v>
      </c>
      <c r="J6" s="14">
        <f t="shared" si="0"/>
        <v>4.166666666666667</v>
      </c>
      <c r="L6" s="22">
        <v>9.4</v>
      </c>
      <c r="M6" s="23" t="s">
        <v>75</v>
      </c>
      <c r="N6" s="24">
        <v>1.68</v>
      </c>
      <c r="P6" s="39" t="s">
        <v>89</v>
      </c>
      <c r="Q6" s="43">
        <f>ROUND($E$21*0.95,2)</f>
        <v>2.38</v>
      </c>
      <c r="R6" s="58" t="s">
        <v>90</v>
      </c>
      <c r="S6" s="46">
        <f>-$E$22</f>
        <v>-1</v>
      </c>
      <c r="X6" s="2">
        <f>IF(ISBLANK(P6),"",ROUND(IF(LEFT(M6,3)="Lay",(N6-1)*$E$21,$E$21),2))</f>
        <v>1.7</v>
      </c>
    </row>
    <row r="7" spans="2:24" x14ac:dyDescent="0.25">
      <c r="B7" s="9">
        <v>42679</v>
      </c>
      <c r="C7" s="7" t="s">
        <v>66</v>
      </c>
      <c r="D7" s="10" t="s">
        <v>51</v>
      </c>
      <c r="E7" s="11">
        <v>0.33</v>
      </c>
      <c r="F7" s="11">
        <v>0.32</v>
      </c>
      <c r="G7" s="11">
        <v>0.35</v>
      </c>
      <c r="H7" s="13">
        <f t="shared" si="0"/>
        <v>3.0303030303030303</v>
      </c>
      <c r="I7" s="13">
        <f t="shared" si="0"/>
        <v>3.125</v>
      </c>
      <c r="J7" s="14">
        <f t="shared" si="0"/>
        <v>2.8571428571428572</v>
      </c>
      <c r="L7" s="22">
        <v>10</v>
      </c>
      <c r="M7" s="23" t="s">
        <v>76</v>
      </c>
      <c r="N7" s="24">
        <v>3.55</v>
      </c>
      <c r="P7" s="39" t="str">
        <f>P6</f>
        <v>Won</v>
      </c>
      <c r="Q7" s="43">
        <f>ROUND(((N7-1)*$E$21)*0.95,2)</f>
        <v>6.06</v>
      </c>
      <c r="R7" s="58" t="s">
        <v>30</v>
      </c>
      <c r="S7" s="46">
        <f t="shared" ref="S7:S8" si="1">-$E$22</f>
        <v>-1</v>
      </c>
      <c r="X7" s="2">
        <f t="shared" ref="X7:X15" si="2">IF(ISBLANK(P7),"",ROUND(IF(LEFT(M7,3)="Lay",(N7-1)*$E$21,$E$21),2))</f>
        <v>2.5</v>
      </c>
    </row>
    <row r="8" spans="2:24" x14ac:dyDescent="0.25">
      <c r="B8" s="9">
        <v>42679</v>
      </c>
      <c r="C8" s="7" t="s">
        <v>67</v>
      </c>
      <c r="D8" s="10" t="s">
        <v>44</v>
      </c>
      <c r="E8" s="11">
        <v>0.75</v>
      </c>
      <c r="F8" s="11">
        <v>0.18</v>
      </c>
      <c r="G8" s="11">
        <v>7.0000000000000007E-2</v>
      </c>
      <c r="H8" s="13">
        <f t="shared" si="0"/>
        <v>1.3333333333333333</v>
      </c>
      <c r="I8" s="13">
        <f t="shared" si="0"/>
        <v>5.5555555555555554</v>
      </c>
      <c r="J8" s="14">
        <f t="shared" si="0"/>
        <v>14.285714285714285</v>
      </c>
      <c r="L8" s="22">
        <v>7</v>
      </c>
      <c r="M8" s="23" t="s">
        <v>61</v>
      </c>
      <c r="N8" s="24">
        <v>6.8</v>
      </c>
      <c r="P8" s="39" t="str">
        <f>P7</f>
        <v>Won</v>
      </c>
      <c r="Q8" s="43">
        <f>ROUND(((N8-1)*$E$21)*0.95,2)</f>
        <v>13.78</v>
      </c>
      <c r="R8" s="59" t="s">
        <v>2</v>
      </c>
      <c r="S8" s="46">
        <f t="shared" si="1"/>
        <v>-1</v>
      </c>
      <c r="X8" s="2">
        <f t="shared" si="2"/>
        <v>2.5</v>
      </c>
    </row>
    <row r="9" spans="2:24" x14ac:dyDescent="0.25">
      <c r="B9" s="9">
        <v>42679</v>
      </c>
      <c r="C9" s="7" t="s">
        <v>68</v>
      </c>
      <c r="D9" s="10" t="s">
        <v>2</v>
      </c>
      <c r="E9" s="11">
        <v>0.54</v>
      </c>
      <c r="F9" s="11">
        <v>0.24</v>
      </c>
      <c r="G9" s="11">
        <v>0.22</v>
      </c>
      <c r="H9" s="13">
        <f t="shared" si="0"/>
        <v>1.8518518518518516</v>
      </c>
      <c r="I9" s="13">
        <f t="shared" si="0"/>
        <v>4.166666666666667</v>
      </c>
      <c r="J9" s="14">
        <f t="shared" si="0"/>
        <v>4.5454545454545459</v>
      </c>
      <c r="L9" s="22">
        <v>8</v>
      </c>
      <c r="M9" s="23" t="s">
        <v>78</v>
      </c>
      <c r="N9" s="24">
        <v>2.1</v>
      </c>
      <c r="P9" s="39" t="s">
        <v>34</v>
      </c>
      <c r="Q9" s="43">
        <f>-$E$21</f>
        <v>-2.5</v>
      </c>
      <c r="R9" s="58" t="s">
        <v>2</v>
      </c>
      <c r="S9" s="46">
        <f>$E$22*(L9-1)*0.95</f>
        <v>6.6499999999999995</v>
      </c>
      <c r="X9" s="2">
        <f t="shared" si="2"/>
        <v>2.5</v>
      </c>
    </row>
    <row r="10" spans="2:24" x14ac:dyDescent="0.25">
      <c r="B10" s="9">
        <v>42679</v>
      </c>
      <c r="C10" s="7" t="s">
        <v>69</v>
      </c>
      <c r="D10" s="15" t="s">
        <v>2</v>
      </c>
      <c r="E10" s="11">
        <v>0.57999999999999996</v>
      </c>
      <c r="F10" s="11">
        <v>0.23</v>
      </c>
      <c r="G10" s="11">
        <v>0.19</v>
      </c>
      <c r="H10" s="13">
        <f t="shared" ref="H10" si="3">(1/E10)</f>
        <v>1.7241379310344829</v>
      </c>
      <c r="I10" s="13">
        <f t="shared" ref="I10" si="4">(1/F10)</f>
        <v>4.3478260869565215</v>
      </c>
      <c r="J10" s="14">
        <f t="shared" ref="J10" si="5">(1/G10)</f>
        <v>5.2631578947368425</v>
      </c>
      <c r="L10" s="22">
        <v>10</v>
      </c>
      <c r="M10" s="23" t="s">
        <v>13</v>
      </c>
      <c r="N10" s="24">
        <v>1.53</v>
      </c>
      <c r="P10" s="39" t="s">
        <v>34</v>
      </c>
      <c r="Q10" s="43">
        <f>ROUND(-(N10-1)*$E$21,2)</f>
        <v>-1.33</v>
      </c>
      <c r="R10" s="58" t="s">
        <v>91</v>
      </c>
      <c r="S10" s="46">
        <f>S8</f>
        <v>-1</v>
      </c>
      <c r="X10" s="2">
        <f t="shared" si="2"/>
        <v>1.33</v>
      </c>
    </row>
    <row r="11" spans="2:24" x14ac:dyDescent="0.25">
      <c r="B11" s="9">
        <v>42680</v>
      </c>
      <c r="C11" s="7" t="s">
        <v>70</v>
      </c>
      <c r="D11" s="15" t="str">
        <f>D10</f>
        <v>1-1</v>
      </c>
      <c r="E11" s="11">
        <v>0.47</v>
      </c>
      <c r="F11" s="11">
        <v>0.28000000000000003</v>
      </c>
      <c r="G11" s="11">
        <v>0.25</v>
      </c>
      <c r="H11" s="13">
        <f t="shared" si="0"/>
        <v>2.1276595744680851</v>
      </c>
      <c r="I11" s="13">
        <f t="shared" si="0"/>
        <v>3.5714285714285712</v>
      </c>
      <c r="J11" s="14">
        <f t="shared" si="0"/>
        <v>4</v>
      </c>
      <c r="L11" s="22">
        <v>8.4</v>
      </c>
      <c r="M11" s="23" t="s">
        <v>60</v>
      </c>
      <c r="N11" s="24">
        <v>4.4000000000000004</v>
      </c>
      <c r="P11" s="39" t="s">
        <v>34</v>
      </c>
      <c r="Q11" s="43">
        <f>-$E$21</f>
        <v>-2.5</v>
      </c>
      <c r="R11" s="58" t="s">
        <v>2</v>
      </c>
      <c r="S11" s="46">
        <f>$E$22*(L11-1)*0.95</f>
        <v>7.03</v>
      </c>
      <c r="X11" s="2">
        <f t="shared" si="2"/>
        <v>2.5</v>
      </c>
    </row>
    <row r="12" spans="2:24" x14ac:dyDescent="0.25">
      <c r="B12" s="9">
        <v>42680</v>
      </c>
      <c r="C12" s="7" t="s">
        <v>71</v>
      </c>
      <c r="D12" s="15" t="s">
        <v>21</v>
      </c>
      <c r="E12" s="11">
        <v>0.13</v>
      </c>
      <c r="F12" s="11">
        <v>0.23</v>
      </c>
      <c r="G12" s="11">
        <v>0.64</v>
      </c>
      <c r="H12" s="13">
        <f t="shared" si="0"/>
        <v>7.6923076923076916</v>
      </c>
      <c r="I12" s="13">
        <f t="shared" si="0"/>
        <v>4.3478260869565215</v>
      </c>
      <c r="J12" s="14">
        <f t="shared" si="0"/>
        <v>1.5625</v>
      </c>
      <c r="L12" s="22">
        <v>6.8</v>
      </c>
      <c r="M12" s="23" t="s">
        <v>79</v>
      </c>
      <c r="N12" s="24">
        <v>1.75</v>
      </c>
      <c r="P12" s="39" t="s">
        <v>34</v>
      </c>
      <c r="Q12" s="43">
        <f>-$E$21</f>
        <v>-2.5</v>
      </c>
      <c r="R12" s="58" t="s">
        <v>19</v>
      </c>
      <c r="S12" s="46">
        <f>S10</f>
        <v>-1</v>
      </c>
      <c r="X12" s="2">
        <f t="shared" si="2"/>
        <v>2.5</v>
      </c>
    </row>
    <row r="13" spans="2:24" x14ac:dyDescent="0.25">
      <c r="B13" s="9">
        <v>42680</v>
      </c>
      <c r="C13" s="7" t="s">
        <v>72</v>
      </c>
      <c r="D13" s="15" t="s">
        <v>19</v>
      </c>
      <c r="E13" s="11">
        <v>0.66</v>
      </c>
      <c r="F13" s="11">
        <v>0.2</v>
      </c>
      <c r="G13" s="11">
        <v>0.15</v>
      </c>
      <c r="H13" s="13">
        <f t="shared" si="0"/>
        <v>1.5151515151515151</v>
      </c>
      <c r="I13" s="13">
        <f t="shared" si="0"/>
        <v>5</v>
      </c>
      <c r="J13" s="14">
        <f t="shared" si="0"/>
        <v>6.666666666666667</v>
      </c>
      <c r="L13" s="22">
        <v>10.5</v>
      </c>
      <c r="M13" s="23" t="s">
        <v>64</v>
      </c>
      <c r="N13" s="24">
        <v>1.31</v>
      </c>
      <c r="P13" s="39" t="s">
        <v>34</v>
      </c>
      <c r="Q13" s="43">
        <f>ROUND(-(N13-1)*$E$21,2)</f>
        <v>-0.78</v>
      </c>
      <c r="R13" s="58" t="s">
        <v>31</v>
      </c>
      <c r="S13" s="46">
        <f>S10</f>
        <v>-1</v>
      </c>
      <c r="X13" s="2">
        <f t="shared" si="2"/>
        <v>0.78</v>
      </c>
    </row>
    <row r="14" spans="2:24" x14ac:dyDescent="0.25">
      <c r="B14" s="9">
        <v>42680</v>
      </c>
      <c r="C14" s="7" t="s">
        <v>73</v>
      </c>
      <c r="D14" s="15" t="s">
        <v>2</v>
      </c>
      <c r="E14" s="11">
        <v>0.27</v>
      </c>
      <c r="F14" s="11">
        <v>0.3</v>
      </c>
      <c r="G14" s="11">
        <v>0.43</v>
      </c>
      <c r="H14" s="13">
        <f t="shared" si="0"/>
        <v>3.7037037037037033</v>
      </c>
      <c r="I14" s="13">
        <f t="shared" si="0"/>
        <v>3.3333333333333335</v>
      </c>
      <c r="J14" s="14">
        <f t="shared" si="0"/>
        <v>2.3255813953488373</v>
      </c>
      <c r="L14" s="22">
        <v>8.6</v>
      </c>
      <c r="M14" s="23" t="s">
        <v>80</v>
      </c>
      <c r="N14" s="24">
        <v>1.78</v>
      </c>
      <c r="P14" s="39" t="s">
        <v>34</v>
      </c>
      <c r="Q14" s="43">
        <f>ROUND(-(N14-1)*$E$21,2)</f>
        <v>-1.95</v>
      </c>
      <c r="R14" s="58" t="s">
        <v>92</v>
      </c>
      <c r="S14" s="46">
        <f>S13</f>
        <v>-1</v>
      </c>
      <c r="X14" s="2">
        <f t="shared" si="2"/>
        <v>1.95</v>
      </c>
    </row>
    <row r="15" spans="2:24" x14ac:dyDescent="0.25">
      <c r="B15" s="9">
        <v>42680</v>
      </c>
      <c r="C15" s="7" t="s">
        <v>74</v>
      </c>
      <c r="D15" s="15" t="s">
        <v>44</v>
      </c>
      <c r="E15" s="11">
        <v>0.59</v>
      </c>
      <c r="F15" s="11">
        <v>0.25</v>
      </c>
      <c r="G15" s="11">
        <v>0.16</v>
      </c>
      <c r="H15" s="13">
        <f t="shared" si="0"/>
        <v>1.6949152542372883</v>
      </c>
      <c r="I15" s="13">
        <f t="shared" si="0"/>
        <v>4</v>
      </c>
      <c r="J15" s="14">
        <f t="shared" si="0"/>
        <v>6.25</v>
      </c>
      <c r="L15" s="22">
        <v>7</v>
      </c>
      <c r="M15" s="23" t="s">
        <v>63</v>
      </c>
      <c r="N15" s="24">
        <v>1.81</v>
      </c>
      <c r="P15" s="39" t="s">
        <v>34</v>
      </c>
      <c r="Q15" s="43">
        <f>Q12</f>
        <v>-2.5</v>
      </c>
      <c r="R15" s="58" t="s">
        <v>90</v>
      </c>
      <c r="S15" s="46">
        <f>S14</f>
        <v>-1</v>
      </c>
      <c r="X15" s="2">
        <f t="shared" si="2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20.759999999999998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8.1600000000000019</v>
      </c>
      <c r="S23" s="2"/>
    </row>
    <row r="24" spans="4:24" s="3" customFormat="1" x14ac:dyDescent="0.25">
      <c r="D24" s="4" t="s">
        <v>41</v>
      </c>
      <c r="E24" s="4">
        <f>SUM(S:S)</f>
        <v>5.68</v>
      </c>
      <c r="S24" s="2"/>
    </row>
    <row r="28" spans="4:24" x14ac:dyDescent="0.25">
      <c r="D28" s="3" t="s">
        <v>129</v>
      </c>
      <c r="E28" s="3">
        <f>COUNTIF(Q5:Q16,"&gt;0")</f>
        <v>3</v>
      </c>
    </row>
    <row r="29" spans="4:24" x14ac:dyDescent="0.25">
      <c r="D29" s="3" t="s">
        <v>130</v>
      </c>
      <c r="E29" s="3">
        <f>COUNTIF(S5:S16,"&gt;0")</f>
        <v>2</v>
      </c>
    </row>
    <row r="56" spans="3:19" s="3" customFormat="1" x14ac:dyDescent="0.25">
      <c r="C56" s="3" t="s">
        <v>0</v>
      </c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S10:S11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25.140625" style="3" bestFit="1" customWidth="1"/>
    <col min="5" max="9" width="8.85546875" style="3"/>
    <col min="10" max="10" width="8.85546875" style="3" customWidth="1"/>
    <col min="11" max="11" width="2.42578125" style="3" customWidth="1"/>
    <col min="12" max="12" width="31.85546875" style="3" bestFit="1" customWidth="1"/>
    <col min="13" max="13" width="22.140625" style="3" bestFit="1" customWidth="1"/>
    <col min="14" max="14" width="11.85546875" style="3" bestFit="1" customWidth="1"/>
    <col min="15" max="15" width="2.42578125" style="3" customWidth="1"/>
    <col min="16" max="16" width="15.85546875" style="3" bestFit="1" customWidth="1"/>
    <col min="17" max="17" width="18.42578125" style="3" bestFit="1" customWidth="1"/>
    <col min="18" max="18" width="8.85546875" style="2"/>
    <col min="19" max="19" width="19.140625" style="2" bestFit="1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51" t="s">
        <v>4</v>
      </c>
      <c r="D3" s="51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7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45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5"/>
      <c r="S5" s="46"/>
    </row>
    <row r="6" spans="2:24" x14ac:dyDescent="0.25">
      <c r="B6" s="9">
        <v>42665</v>
      </c>
      <c r="C6" s="7" t="s">
        <v>52</v>
      </c>
      <c r="D6" s="10" t="s">
        <v>2</v>
      </c>
      <c r="E6" s="11">
        <v>0.18</v>
      </c>
      <c r="F6" s="11">
        <v>0.24</v>
      </c>
      <c r="G6" s="11">
        <v>0.57999999999999996</v>
      </c>
      <c r="H6" s="13">
        <f t="shared" ref="H6:J13" si="0">(1/E6)</f>
        <v>5.5555555555555554</v>
      </c>
      <c r="I6" s="13">
        <f t="shared" si="0"/>
        <v>4.166666666666667</v>
      </c>
      <c r="J6" s="14">
        <f t="shared" si="0"/>
        <v>1.7241379310344829</v>
      </c>
      <c r="L6" s="22">
        <v>8.1999999999999993</v>
      </c>
      <c r="M6" s="23" t="s">
        <v>60</v>
      </c>
      <c r="N6" s="24">
        <v>2.04</v>
      </c>
      <c r="P6" s="39" t="s">
        <v>34</v>
      </c>
      <c r="Q6" s="43">
        <f>-$E$21</f>
        <v>-2.5</v>
      </c>
      <c r="R6" s="45" t="s">
        <v>51</v>
      </c>
      <c r="S6" s="46">
        <f>-$E$22</f>
        <v>-1</v>
      </c>
      <c r="X6" s="2">
        <f>IF(ISBLANK(P6),"",ROUND(IF(LEFT(M6,3)="Lay",(N6-1)*$E$21,$E$21),2))</f>
        <v>2.5</v>
      </c>
    </row>
    <row r="7" spans="2:24" x14ac:dyDescent="0.25">
      <c r="B7" s="9">
        <v>42665</v>
      </c>
      <c r="C7" s="7" t="s">
        <v>53</v>
      </c>
      <c r="D7" s="10" t="s">
        <v>15</v>
      </c>
      <c r="E7" s="11">
        <v>0.82</v>
      </c>
      <c r="F7" s="11">
        <v>0.13</v>
      </c>
      <c r="G7" s="11">
        <v>0.05</v>
      </c>
      <c r="H7" s="13">
        <f t="shared" si="0"/>
        <v>1.2195121951219512</v>
      </c>
      <c r="I7" s="13">
        <f t="shared" si="0"/>
        <v>7.6923076923076916</v>
      </c>
      <c r="J7" s="14">
        <f t="shared" si="0"/>
        <v>20</v>
      </c>
      <c r="L7" s="22">
        <v>6.8</v>
      </c>
      <c r="M7" s="23" t="s">
        <v>35</v>
      </c>
      <c r="N7" s="24"/>
      <c r="P7" s="39"/>
      <c r="Q7" s="43"/>
      <c r="R7" s="45" t="str">
        <f>R6</f>
        <v>0-0</v>
      </c>
      <c r="S7" s="46">
        <f>S6</f>
        <v>-1</v>
      </c>
      <c r="X7" s="2" t="str">
        <f t="shared" ref="X7:X15" si="1">IF(ISBLANK(P7),"",ROUND(IF(LEFT(M7,3)="Lay",(N7-1)*$E$21,$E$21),2))</f>
        <v/>
      </c>
    </row>
    <row r="8" spans="2:24" x14ac:dyDescent="0.25">
      <c r="B8" s="9">
        <v>42665</v>
      </c>
      <c r="C8" s="7" t="s">
        <v>54</v>
      </c>
      <c r="D8" s="10" t="s">
        <v>21</v>
      </c>
      <c r="E8" s="11">
        <v>0.19</v>
      </c>
      <c r="F8" s="11">
        <v>0.3</v>
      </c>
      <c r="G8" s="11">
        <v>0.51</v>
      </c>
      <c r="H8" s="13">
        <f t="shared" si="0"/>
        <v>5.2631578947368425</v>
      </c>
      <c r="I8" s="13">
        <f t="shared" si="0"/>
        <v>3.3333333333333335</v>
      </c>
      <c r="J8" s="14">
        <f t="shared" si="0"/>
        <v>1.9607843137254901</v>
      </c>
      <c r="L8" s="22">
        <v>7</v>
      </c>
      <c r="M8" s="23" t="s">
        <v>61</v>
      </c>
      <c r="N8" s="24">
        <v>3.8</v>
      </c>
      <c r="P8" s="39" t="s">
        <v>34</v>
      </c>
      <c r="Q8" s="43">
        <f>Q6</f>
        <v>-2.5</v>
      </c>
      <c r="R8" s="45" t="s">
        <v>19</v>
      </c>
      <c r="S8" s="46">
        <f t="shared" ref="S8:S13" si="2">S7</f>
        <v>-1</v>
      </c>
      <c r="X8" s="2">
        <f t="shared" si="1"/>
        <v>2.5</v>
      </c>
    </row>
    <row r="9" spans="2:24" x14ac:dyDescent="0.25">
      <c r="B9" s="9">
        <v>42665</v>
      </c>
      <c r="C9" s="7" t="s">
        <v>55</v>
      </c>
      <c r="D9" s="10" t="s">
        <v>2</v>
      </c>
      <c r="E9" s="11">
        <v>0.32</v>
      </c>
      <c r="F9" s="11">
        <v>0.25</v>
      </c>
      <c r="G9" s="11">
        <v>0.43</v>
      </c>
      <c r="H9" s="13">
        <f t="shared" si="0"/>
        <v>3.125</v>
      </c>
      <c r="I9" s="13">
        <f t="shared" si="0"/>
        <v>4</v>
      </c>
      <c r="J9" s="14">
        <f t="shared" si="0"/>
        <v>2.3255813953488373</v>
      </c>
      <c r="L9" s="22">
        <v>7.2</v>
      </c>
      <c r="M9" s="23" t="s">
        <v>62</v>
      </c>
      <c r="N9" s="24">
        <v>3.4</v>
      </c>
      <c r="P9" s="39" t="s">
        <v>36</v>
      </c>
      <c r="Q9" s="43">
        <f>ROUND($E$21*0.95,2)</f>
        <v>2.38</v>
      </c>
      <c r="R9" s="45" t="s">
        <v>77</v>
      </c>
      <c r="S9" s="46">
        <f t="shared" si="2"/>
        <v>-1</v>
      </c>
      <c r="X9" s="2">
        <f t="shared" si="1"/>
        <v>6</v>
      </c>
    </row>
    <row r="10" spans="2:24" x14ac:dyDescent="0.25">
      <c r="B10" s="9">
        <v>42665</v>
      </c>
      <c r="C10" s="7" t="s">
        <v>56</v>
      </c>
      <c r="D10" s="15" t="s">
        <v>44</v>
      </c>
      <c r="E10" s="11">
        <v>0.55000000000000004</v>
      </c>
      <c r="F10" s="11">
        <v>0.26</v>
      </c>
      <c r="G10" s="11">
        <v>0.19</v>
      </c>
      <c r="H10" s="13">
        <f t="shared" si="0"/>
        <v>1.8181818181818181</v>
      </c>
      <c r="I10" s="13">
        <f t="shared" si="0"/>
        <v>3.8461538461538458</v>
      </c>
      <c r="J10" s="14">
        <f t="shared" si="0"/>
        <v>5.2631578947368425</v>
      </c>
      <c r="L10" s="22">
        <v>8.8000000000000007</v>
      </c>
      <c r="M10" s="23" t="s">
        <v>63</v>
      </c>
      <c r="N10" s="24">
        <v>2.08</v>
      </c>
      <c r="P10" s="39" t="s">
        <v>36</v>
      </c>
      <c r="Q10" s="43">
        <f>ROUND(((N10-1)*$E$21)*0.95,2)</f>
        <v>2.57</v>
      </c>
      <c r="R10" s="45" t="s">
        <v>48</v>
      </c>
      <c r="S10" s="46">
        <f t="shared" si="2"/>
        <v>-1</v>
      </c>
      <c r="X10" s="2">
        <f t="shared" si="1"/>
        <v>2.5</v>
      </c>
    </row>
    <row r="11" spans="2:24" x14ac:dyDescent="0.25">
      <c r="B11" s="9">
        <v>42665</v>
      </c>
      <c r="C11" s="7" t="s">
        <v>57</v>
      </c>
      <c r="D11" s="15" t="s">
        <v>2</v>
      </c>
      <c r="E11" s="11">
        <v>0.42</v>
      </c>
      <c r="F11" s="11">
        <v>0.27</v>
      </c>
      <c r="G11" s="11">
        <v>0.31</v>
      </c>
      <c r="H11" s="13">
        <f t="shared" si="0"/>
        <v>2.3809523809523809</v>
      </c>
      <c r="I11" s="13">
        <f t="shared" si="0"/>
        <v>3.7037037037037033</v>
      </c>
      <c r="J11" s="14">
        <f t="shared" si="0"/>
        <v>3.2258064516129035</v>
      </c>
      <c r="L11" s="22">
        <v>7.6</v>
      </c>
      <c r="M11" s="23" t="s">
        <v>35</v>
      </c>
      <c r="N11" s="24"/>
      <c r="P11" s="39"/>
      <c r="Q11" s="43"/>
      <c r="R11" s="45" t="s">
        <v>51</v>
      </c>
      <c r="S11" s="46">
        <f t="shared" si="2"/>
        <v>-1</v>
      </c>
      <c r="X11" s="2" t="str">
        <f t="shared" si="1"/>
        <v/>
      </c>
    </row>
    <row r="12" spans="2:24" x14ac:dyDescent="0.25">
      <c r="B12" s="9">
        <v>42665</v>
      </c>
      <c r="C12" s="7" t="s">
        <v>58</v>
      </c>
      <c r="D12" s="15" t="s">
        <v>19</v>
      </c>
      <c r="E12" s="11">
        <v>0.55000000000000004</v>
      </c>
      <c r="F12" s="11">
        <v>0.24</v>
      </c>
      <c r="G12" s="11">
        <v>0.21</v>
      </c>
      <c r="H12" s="13">
        <f t="shared" si="0"/>
        <v>1.8181818181818181</v>
      </c>
      <c r="I12" s="13">
        <f t="shared" si="0"/>
        <v>4.166666666666667</v>
      </c>
      <c r="J12" s="14">
        <f t="shared" si="0"/>
        <v>4.7619047619047619</v>
      </c>
      <c r="L12" s="22">
        <v>9.6</v>
      </c>
      <c r="M12" s="23" t="s">
        <v>26</v>
      </c>
      <c r="N12" s="24">
        <v>5.7</v>
      </c>
      <c r="P12" s="39" t="s">
        <v>34</v>
      </c>
      <c r="Q12" s="43">
        <f>Q8</f>
        <v>-2.5</v>
      </c>
      <c r="R12" s="45" t="s">
        <v>44</v>
      </c>
      <c r="S12" s="46">
        <f t="shared" si="2"/>
        <v>-1</v>
      </c>
      <c r="X12" s="2">
        <f t="shared" si="1"/>
        <v>2.5</v>
      </c>
    </row>
    <row r="13" spans="2:24" x14ac:dyDescent="0.25">
      <c r="B13" s="9">
        <v>42665</v>
      </c>
      <c r="C13" s="7" t="s">
        <v>59</v>
      </c>
      <c r="D13" s="15" t="s">
        <v>44</v>
      </c>
      <c r="E13" s="11">
        <v>0.67</v>
      </c>
      <c r="F13" s="11">
        <v>0.21</v>
      </c>
      <c r="G13" s="11">
        <v>0.12</v>
      </c>
      <c r="H13" s="13">
        <f t="shared" si="0"/>
        <v>1.4925373134328357</v>
      </c>
      <c r="I13" s="13">
        <f t="shared" si="0"/>
        <v>4.7619047619047619</v>
      </c>
      <c r="J13" s="14">
        <f t="shared" si="0"/>
        <v>8.3333333333333339</v>
      </c>
      <c r="L13" s="22">
        <v>8.8000000000000007</v>
      </c>
      <c r="M13" s="23" t="s">
        <v>64</v>
      </c>
      <c r="N13" s="24">
        <v>1.3</v>
      </c>
      <c r="P13" s="39" t="str">
        <f>P12</f>
        <v>Loss</v>
      </c>
      <c r="Q13" s="43">
        <f>-(N13-1)*$E$21</f>
        <v>-0.75000000000000011</v>
      </c>
      <c r="R13" s="45" t="s">
        <v>19</v>
      </c>
      <c r="S13" s="46">
        <f t="shared" si="2"/>
        <v>-1</v>
      </c>
      <c r="X13" s="2">
        <f t="shared" si="1"/>
        <v>0.75</v>
      </c>
    </row>
    <row r="14" spans="2:24" x14ac:dyDescent="0.25">
      <c r="B14" s="9"/>
      <c r="C14" s="7"/>
      <c r="D14" s="15"/>
      <c r="E14" s="11"/>
      <c r="F14" s="11"/>
      <c r="G14" s="11"/>
      <c r="H14" s="13"/>
      <c r="I14" s="13"/>
      <c r="J14" s="14"/>
      <c r="L14" s="22"/>
      <c r="M14" s="23"/>
      <c r="N14" s="24"/>
      <c r="P14" s="39"/>
      <c r="Q14" s="43"/>
      <c r="R14" s="45"/>
      <c r="S14" s="46"/>
      <c r="X14" s="2" t="str">
        <f t="shared" si="1"/>
        <v/>
      </c>
    </row>
    <row r="15" spans="2:24" x14ac:dyDescent="0.25">
      <c r="B15" s="9"/>
      <c r="C15" s="7"/>
      <c r="D15" s="15"/>
      <c r="E15" s="11"/>
      <c r="F15" s="11"/>
      <c r="G15" s="11"/>
      <c r="H15" s="13"/>
      <c r="I15" s="13"/>
      <c r="J15" s="14"/>
      <c r="L15" s="22"/>
      <c r="M15" s="23"/>
      <c r="N15" s="24"/>
      <c r="P15" s="52"/>
      <c r="Q15" s="43"/>
      <c r="R15" s="45"/>
      <c r="S15" s="54"/>
      <c r="X15" s="2" t="str">
        <f t="shared" si="1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17" spans="4:24" x14ac:dyDescent="0.25">
      <c r="X17" s="2">
        <f>SUM(X5:X15)</f>
        <v>16.75</v>
      </c>
    </row>
    <row r="21" spans="4:24" s="3" customFormat="1" x14ac:dyDescent="0.25">
      <c r="D21" s="5" t="s">
        <v>40</v>
      </c>
      <c r="E21" s="4">
        <v>2.5</v>
      </c>
      <c r="R21" s="2"/>
      <c r="S21" s="2"/>
    </row>
    <row r="22" spans="4:24" s="3" customFormat="1" x14ac:dyDescent="0.25">
      <c r="D22" s="5" t="s">
        <v>39</v>
      </c>
      <c r="E22" s="4">
        <v>1</v>
      </c>
      <c r="R22" s="2"/>
      <c r="S22" s="2"/>
    </row>
    <row r="23" spans="4:24" s="3" customFormat="1" x14ac:dyDescent="0.25">
      <c r="D23" s="5" t="s">
        <v>38</v>
      </c>
      <c r="E23" s="4">
        <f>SUM(Q:Q)</f>
        <v>-3.3000000000000003</v>
      </c>
      <c r="R23" s="2"/>
      <c r="S23" s="2"/>
    </row>
    <row r="24" spans="4:24" s="3" customFormat="1" x14ac:dyDescent="0.25">
      <c r="D24" s="4" t="s">
        <v>41</v>
      </c>
      <c r="E24" s="4">
        <f>SUM(S:S)</f>
        <v>-8</v>
      </c>
      <c r="R24" s="2"/>
      <c r="S24" s="2"/>
    </row>
    <row r="28" spans="4:24" x14ac:dyDescent="0.25">
      <c r="D28" s="3" t="s">
        <v>129</v>
      </c>
      <c r="E28" s="3">
        <f>COUNTIF(Q5:Q16,"&gt;0")</f>
        <v>2</v>
      </c>
    </row>
    <row r="29" spans="4:24" x14ac:dyDescent="0.25">
      <c r="D29" s="3" t="s">
        <v>130</v>
      </c>
      <c r="E29" s="3">
        <f>COUNTIF(S5:S16,"&gt;0")</f>
        <v>0</v>
      </c>
    </row>
    <row r="56" spans="3:19" s="3" customFormat="1" x14ac:dyDescent="0.25">
      <c r="C56" s="3" t="s">
        <v>0</v>
      </c>
      <c r="R56" s="2"/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7" zoomScaleNormal="97" zoomScalePageLayoutView="97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1"/>
    <col min="3" max="3" width="24.140625" style="1" bestFit="1" customWidth="1"/>
    <col min="4" max="4" width="25.140625" style="1" bestFit="1" customWidth="1"/>
    <col min="5" max="9" width="8.85546875" style="1"/>
    <col min="10" max="10" width="8.85546875" style="1" customWidth="1"/>
    <col min="11" max="11" width="2.42578125" style="3" customWidth="1"/>
    <col min="12" max="12" width="26.42578125" style="1" bestFit="1" customWidth="1"/>
    <col min="13" max="13" width="22.140625" style="1" bestFit="1" customWidth="1"/>
    <col min="14" max="14" width="11.85546875" style="1" bestFit="1" customWidth="1"/>
    <col min="15" max="15" width="2.42578125" style="3" customWidth="1"/>
    <col min="16" max="16" width="15.85546875" style="3" bestFit="1" customWidth="1"/>
    <col min="17" max="17" width="18.42578125" style="3" bestFit="1" customWidth="1"/>
    <col min="18" max="18" width="8.85546875" style="2"/>
    <col min="19" max="19" width="22.85546875" style="2" bestFit="1" customWidth="1"/>
    <col min="20" max="20" width="2.140625" style="2" customWidth="1"/>
    <col min="21" max="23" width="8.85546875" style="2"/>
    <col min="24" max="24" width="26.42578125" style="2" bestFit="1" customWidth="1"/>
    <col min="25" max="16384" width="8.85546875" style="2"/>
  </cols>
  <sheetData>
    <row r="1" spans="2:24" ht="15.75" thickBot="1" x14ac:dyDescent="0.3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</row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29" t="s">
        <v>4</v>
      </c>
      <c r="D3" s="29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7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0"/>
      <c r="R4" s="41"/>
      <c r="S4" s="42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1"/>
      <c r="S5" s="44"/>
    </row>
    <row r="6" spans="2:24" x14ac:dyDescent="0.25">
      <c r="B6" s="9">
        <v>42658</v>
      </c>
      <c r="C6" s="7" t="s">
        <v>1</v>
      </c>
      <c r="D6" s="10" t="s">
        <v>2</v>
      </c>
      <c r="E6" s="11">
        <v>0.43</v>
      </c>
      <c r="F6" s="12">
        <v>0.27</v>
      </c>
      <c r="G6" s="12">
        <v>0.3</v>
      </c>
      <c r="H6" s="13">
        <f t="shared" ref="H6:H12" si="0">(1/E6)</f>
        <v>2.3255813953488373</v>
      </c>
      <c r="I6" s="13">
        <f t="shared" ref="I6:J6" si="1">(1/F6)</f>
        <v>3.7037037037037033</v>
      </c>
      <c r="J6" s="14">
        <f t="shared" si="1"/>
        <v>3.3333333333333335</v>
      </c>
      <c r="L6" s="22">
        <v>9.6</v>
      </c>
      <c r="M6" s="23" t="s">
        <v>13</v>
      </c>
      <c r="N6" s="24">
        <v>1.58</v>
      </c>
      <c r="P6" s="39" t="s">
        <v>34</v>
      </c>
      <c r="Q6" s="43">
        <f>-(N6-1)*$E$21</f>
        <v>-1.4500000000000002</v>
      </c>
      <c r="R6" s="45" t="s">
        <v>29</v>
      </c>
      <c r="S6" s="46">
        <f t="shared" ref="S6:S13" si="2">-$E$22</f>
        <v>-1</v>
      </c>
      <c r="X6" s="2">
        <f>IF(ISBLANK(P6),"",ROUND(IF(LEFT(M6,3)="Lay",(N6-1)*$E$21,$E$21),2))</f>
        <v>1.45</v>
      </c>
    </row>
    <row r="7" spans="2:24" x14ac:dyDescent="0.25">
      <c r="B7" s="9">
        <v>42658</v>
      </c>
      <c r="C7" s="7" t="s">
        <v>6</v>
      </c>
      <c r="D7" s="10" t="s">
        <v>15</v>
      </c>
      <c r="E7" s="11">
        <v>0.78</v>
      </c>
      <c r="F7" s="11">
        <v>0.15</v>
      </c>
      <c r="G7" s="11">
        <v>7.0000000000000007E-2</v>
      </c>
      <c r="H7" s="13">
        <f t="shared" si="0"/>
        <v>1.2820512820512819</v>
      </c>
      <c r="I7" s="13">
        <f t="shared" ref="I7" si="3">(1/F7)</f>
        <v>6.666666666666667</v>
      </c>
      <c r="J7" s="14">
        <f t="shared" ref="J7" si="4">(1/G7)</f>
        <v>14.285714285714285</v>
      </c>
      <c r="L7" s="22">
        <v>8</v>
      </c>
      <c r="M7" s="23" t="s">
        <v>35</v>
      </c>
      <c r="N7" s="24"/>
      <c r="P7" s="39"/>
      <c r="Q7" s="43">
        <v>0</v>
      </c>
      <c r="R7" s="45" t="s">
        <v>30</v>
      </c>
      <c r="S7" s="46">
        <f t="shared" si="2"/>
        <v>-1</v>
      </c>
      <c r="X7" s="2" t="str">
        <f t="shared" ref="X7:X15" si="5">IF(ISBLANK(P7),"",ROUND(IF(LEFT(M7,3)="Lay",(N7-1)*$E$21,$E$21),2))</f>
        <v/>
      </c>
    </row>
    <row r="8" spans="2:24" x14ac:dyDescent="0.25">
      <c r="B8" s="9">
        <v>42658</v>
      </c>
      <c r="C8" s="7" t="s">
        <v>16</v>
      </c>
      <c r="D8" s="10" t="s">
        <v>2</v>
      </c>
      <c r="E8" s="11">
        <v>0.52</v>
      </c>
      <c r="F8" s="11">
        <v>0.26</v>
      </c>
      <c r="G8" s="11">
        <v>0.23</v>
      </c>
      <c r="H8" s="13">
        <f t="shared" si="0"/>
        <v>1.9230769230769229</v>
      </c>
      <c r="I8" s="13">
        <f t="shared" ref="I8" si="6">(1/F8)</f>
        <v>3.8461538461538458</v>
      </c>
      <c r="J8" s="14">
        <f t="shared" ref="J8" si="7">(1/G8)</f>
        <v>4.3478260869565215</v>
      </c>
      <c r="L8" s="22">
        <v>8.1999999999999993</v>
      </c>
      <c r="M8" s="23" t="s">
        <v>17</v>
      </c>
      <c r="N8" s="24">
        <v>5</v>
      </c>
      <c r="P8" s="39" t="s">
        <v>34</v>
      </c>
      <c r="Q8" s="43">
        <f>-$E$21</f>
        <v>-2.5</v>
      </c>
      <c r="R8" s="45" t="s">
        <v>31</v>
      </c>
      <c r="S8" s="46">
        <f t="shared" si="2"/>
        <v>-1</v>
      </c>
      <c r="X8" s="2">
        <f t="shared" si="5"/>
        <v>2.5</v>
      </c>
    </row>
    <row r="9" spans="2:24" x14ac:dyDescent="0.25">
      <c r="B9" s="9">
        <v>42658</v>
      </c>
      <c r="C9" s="7" t="s">
        <v>18</v>
      </c>
      <c r="D9" s="15" t="s">
        <v>19</v>
      </c>
      <c r="E9" s="11">
        <v>0.66</v>
      </c>
      <c r="F9" s="11">
        <v>0.2</v>
      </c>
      <c r="G9" s="11">
        <v>0.14000000000000001</v>
      </c>
      <c r="H9" s="13">
        <f t="shared" si="0"/>
        <v>1.5151515151515151</v>
      </c>
      <c r="I9" s="13">
        <f t="shared" ref="I9" si="8">(1/F9)</f>
        <v>5</v>
      </c>
      <c r="J9" s="14">
        <f t="shared" ref="J9" si="9">(1/G9)</f>
        <v>7.1428571428571423</v>
      </c>
      <c r="L9" s="22">
        <v>9.4</v>
      </c>
      <c r="M9" s="23" t="s">
        <v>35</v>
      </c>
      <c r="N9" s="24"/>
      <c r="P9" s="39"/>
      <c r="Q9" s="43">
        <v>0</v>
      </c>
      <c r="R9" s="45" t="s">
        <v>2</v>
      </c>
      <c r="S9" s="46">
        <f t="shared" si="2"/>
        <v>-1</v>
      </c>
      <c r="X9" s="2" t="str">
        <f t="shared" si="5"/>
        <v/>
      </c>
    </row>
    <row r="10" spans="2:24" x14ac:dyDescent="0.25">
      <c r="B10" s="9">
        <v>42658</v>
      </c>
      <c r="C10" s="7" t="s">
        <v>20</v>
      </c>
      <c r="D10" s="15" t="s">
        <v>21</v>
      </c>
      <c r="E10" s="11">
        <v>0.16</v>
      </c>
      <c r="F10" s="11">
        <v>0.28999999999999998</v>
      </c>
      <c r="G10" s="11">
        <v>0.55000000000000004</v>
      </c>
      <c r="H10" s="13">
        <f t="shared" si="0"/>
        <v>6.25</v>
      </c>
      <c r="I10" s="13">
        <f t="shared" ref="I10" si="10">(1/F10)</f>
        <v>3.4482758620689657</v>
      </c>
      <c r="J10" s="14">
        <f t="shared" ref="J10" si="11">(1/G10)</f>
        <v>1.8181818181818181</v>
      </c>
      <c r="L10" s="22">
        <v>7.6</v>
      </c>
      <c r="M10" s="23" t="s">
        <v>22</v>
      </c>
      <c r="N10" s="24">
        <v>3.9</v>
      </c>
      <c r="P10" s="39" t="s">
        <v>36</v>
      </c>
      <c r="Q10" s="43">
        <f>ROUND(((N10-1)*$E$21)*0.95,2)</f>
        <v>6.89</v>
      </c>
      <c r="R10" s="45" t="s">
        <v>2</v>
      </c>
      <c r="S10" s="46">
        <f t="shared" si="2"/>
        <v>-1</v>
      </c>
      <c r="X10" s="2">
        <f t="shared" si="5"/>
        <v>2.5</v>
      </c>
    </row>
    <row r="11" spans="2:24" x14ac:dyDescent="0.25">
      <c r="B11" s="9">
        <v>42658</v>
      </c>
      <c r="C11" s="7" t="s">
        <v>24</v>
      </c>
      <c r="D11" s="15" t="s">
        <v>2</v>
      </c>
      <c r="E11" s="11">
        <v>0.51</v>
      </c>
      <c r="F11" s="11">
        <v>0.24</v>
      </c>
      <c r="G11" s="11">
        <v>0.25</v>
      </c>
      <c r="H11" s="13">
        <f t="shared" si="0"/>
        <v>1.9607843137254901</v>
      </c>
      <c r="I11" s="13">
        <f t="shared" ref="I11" si="12">(1/F11)</f>
        <v>4.166666666666667</v>
      </c>
      <c r="J11" s="14">
        <f t="shared" ref="J11" si="13">(1/G11)</f>
        <v>4</v>
      </c>
      <c r="L11" s="22">
        <v>8</v>
      </c>
      <c r="M11" s="23" t="s">
        <v>23</v>
      </c>
      <c r="N11" s="24">
        <v>2.12</v>
      </c>
      <c r="P11" s="39" t="s">
        <v>34</v>
      </c>
      <c r="Q11" s="43">
        <f>-$E$21</f>
        <v>-2.5</v>
      </c>
      <c r="R11" s="45" t="s">
        <v>21</v>
      </c>
      <c r="S11" s="46">
        <f t="shared" si="2"/>
        <v>-1</v>
      </c>
      <c r="X11" s="2">
        <f t="shared" si="5"/>
        <v>2.5</v>
      </c>
    </row>
    <row r="12" spans="2:24" x14ac:dyDescent="0.25">
      <c r="B12" s="9">
        <v>42658</v>
      </c>
      <c r="C12" s="7" t="s">
        <v>25</v>
      </c>
      <c r="D12" s="15" t="s">
        <v>2</v>
      </c>
      <c r="E12" s="11">
        <v>0.36</v>
      </c>
      <c r="F12" s="11">
        <v>0.28000000000000003</v>
      </c>
      <c r="G12" s="11">
        <v>0.36</v>
      </c>
      <c r="H12" s="13">
        <f t="shared" si="0"/>
        <v>2.7777777777777777</v>
      </c>
      <c r="I12" s="13">
        <f t="shared" ref="I12" si="14">(1/F12)</f>
        <v>3.5714285714285712</v>
      </c>
      <c r="J12" s="14">
        <f t="shared" ref="J12" si="15">(1/G12)</f>
        <v>2.7777777777777777</v>
      </c>
      <c r="L12" s="22">
        <v>8</v>
      </c>
      <c r="M12" s="23" t="s">
        <v>26</v>
      </c>
      <c r="N12" s="24">
        <v>4.4000000000000004</v>
      </c>
      <c r="P12" s="39" t="s">
        <v>34</v>
      </c>
      <c r="Q12" s="43">
        <f>-$E$21</f>
        <v>-2.5</v>
      </c>
      <c r="R12" s="45" t="s">
        <v>15</v>
      </c>
      <c r="S12" s="46">
        <f t="shared" si="2"/>
        <v>-1</v>
      </c>
      <c r="X12" s="2">
        <f t="shared" si="5"/>
        <v>2.5</v>
      </c>
    </row>
    <row r="13" spans="2:24" x14ac:dyDescent="0.25">
      <c r="B13" s="9">
        <v>42659</v>
      </c>
      <c r="C13" s="7" t="s">
        <v>42</v>
      </c>
      <c r="D13" s="15" t="s">
        <v>2</v>
      </c>
      <c r="E13" s="11">
        <v>0.38</v>
      </c>
      <c r="F13" s="11">
        <v>0.28000000000000003</v>
      </c>
      <c r="G13" s="11">
        <v>0.35</v>
      </c>
      <c r="H13" s="13">
        <f t="shared" ref="H13" si="16">(1/E13)</f>
        <v>2.6315789473684212</v>
      </c>
      <c r="I13" s="13">
        <f t="shared" ref="I13" si="17">(1/F13)</f>
        <v>3.5714285714285712</v>
      </c>
      <c r="J13" s="14">
        <f t="shared" ref="J13" si="18">(1/G13)</f>
        <v>2.8571428571428572</v>
      </c>
      <c r="L13" s="22">
        <v>7</v>
      </c>
      <c r="M13" s="23" t="s">
        <v>35</v>
      </c>
      <c r="N13" s="24"/>
      <c r="P13" s="39"/>
      <c r="Q13" s="43">
        <v>0</v>
      </c>
      <c r="R13" s="45" t="s">
        <v>21</v>
      </c>
      <c r="S13" s="46">
        <f t="shared" si="2"/>
        <v>-1</v>
      </c>
      <c r="X13" s="2" t="str">
        <f t="shared" si="5"/>
        <v/>
      </c>
    </row>
    <row r="14" spans="2:24" x14ac:dyDescent="0.25">
      <c r="B14" s="9">
        <v>42659</v>
      </c>
      <c r="C14" s="7" t="s">
        <v>43</v>
      </c>
      <c r="D14" s="15" t="s">
        <v>44</v>
      </c>
      <c r="E14" s="11">
        <v>0.66</v>
      </c>
      <c r="F14" s="11">
        <v>0.26</v>
      </c>
      <c r="G14" s="11">
        <v>0.09</v>
      </c>
      <c r="H14" s="13">
        <f t="shared" ref="H14:H15" si="19">(1/E14)</f>
        <v>1.5151515151515151</v>
      </c>
      <c r="I14" s="13">
        <f t="shared" ref="I14:I15" si="20">(1/F14)</f>
        <v>3.8461538461538458</v>
      </c>
      <c r="J14" s="14">
        <f t="shared" ref="J14:J15" si="21">(1/G14)</f>
        <v>11.111111111111111</v>
      </c>
      <c r="L14" s="22">
        <v>7</v>
      </c>
      <c r="M14" s="23" t="s">
        <v>22</v>
      </c>
      <c r="N14" s="24">
        <v>4.9000000000000004</v>
      </c>
      <c r="P14" s="52" t="s">
        <v>34</v>
      </c>
      <c r="Q14" s="43">
        <f>-$E$21</f>
        <v>-2.5</v>
      </c>
      <c r="R14" s="45" t="s">
        <v>48</v>
      </c>
      <c r="S14" s="54">
        <v>-1</v>
      </c>
      <c r="X14" s="2">
        <f t="shared" si="5"/>
        <v>2.5</v>
      </c>
    </row>
    <row r="15" spans="2:24" x14ac:dyDescent="0.25">
      <c r="B15" s="9">
        <v>42660</v>
      </c>
      <c r="C15" s="7" t="s">
        <v>49</v>
      </c>
      <c r="D15" s="15" t="s">
        <v>19</v>
      </c>
      <c r="E15" s="11">
        <v>0.53</v>
      </c>
      <c r="F15" s="11">
        <v>0.24</v>
      </c>
      <c r="G15" s="11">
        <v>0.24</v>
      </c>
      <c r="H15" s="13">
        <f t="shared" si="19"/>
        <v>1.8867924528301885</v>
      </c>
      <c r="I15" s="13">
        <f t="shared" si="20"/>
        <v>4.166666666666667</v>
      </c>
      <c r="J15" s="14">
        <f t="shared" si="21"/>
        <v>4.166666666666667</v>
      </c>
      <c r="L15" s="22">
        <v>10.5</v>
      </c>
      <c r="M15" s="23" t="s">
        <v>50</v>
      </c>
      <c r="N15" s="24">
        <v>2.2599999999999998</v>
      </c>
      <c r="P15" s="52" t="s">
        <v>34</v>
      </c>
      <c r="Q15" s="43">
        <f>-$E$21</f>
        <v>-2.5</v>
      </c>
      <c r="R15" s="53" t="s">
        <v>51</v>
      </c>
      <c r="S15" s="54">
        <v>-1</v>
      </c>
      <c r="X15" s="2">
        <f t="shared" si="5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17" spans="4:24" x14ac:dyDescent="0.25">
      <c r="X17" s="2">
        <f>SUM(X5:X15)</f>
        <v>16.45</v>
      </c>
    </row>
    <row r="21" spans="4:24" x14ac:dyDescent="0.25">
      <c r="D21" s="5" t="s">
        <v>40</v>
      </c>
      <c r="E21" s="4">
        <v>2.5</v>
      </c>
      <c r="X21" s="3"/>
    </row>
    <row r="22" spans="4:24" x14ac:dyDescent="0.25">
      <c r="D22" s="5" t="s">
        <v>39</v>
      </c>
      <c r="E22" s="4">
        <v>1</v>
      </c>
      <c r="X22" s="3"/>
    </row>
    <row r="23" spans="4:24" x14ac:dyDescent="0.25">
      <c r="D23" s="5" t="s">
        <v>38</v>
      </c>
      <c r="E23" s="4">
        <f>SUM(Q:Q)</f>
        <v>-7.0600000000000005</v>
      </c>
      <c r="X23" s="3"/>
    </row>
    <row r="24" spans="4:24" x14ac:dyDescent="0.25">
      <c r="D24" s="4" t="s">
        <v>41</v>
      </c>
      <c r="E24" s="4">
        <f>SUM(S:S)</f>
        <v>-10</v>
      </c>
      <c r="X24" s="3"/>
    </row>
    <row r="28" spans="4:24" x14ac:dyDescent="0.25">
      <c r="D28" s="1" t="s">
        <v>129</v>
      </c>
      <c r="E28" s="1">
        <f>COUNTIF(Q5:Q16,"&gt;0")</f>
        <v>1</v>
      </c>
    </row>
    <row r="29" spans="4:24" x14ac:dyDescent="0.25">
      <c r="D29" s="1" t="s">
        <v>130</v>
      </c>
      <c r="E29" s="1">
        <f>COUNTIF(S5:S16,"&gt;0")</f>
        <v>0</v>
      </c>
    </row>
    <row r="56" spans="3:24" x14ac:dyDescent="0.25">
      <c r="C56" s="1" t="s">
        <v>0</v>
      </c>
      <c r="X56" s="3"/>
    </row>
  </sheetData>
  <mergeCells count="5">
    <mergeCell ref="E3:G3"/>
    <mergeCell ref="H3:J3"/>
    <mergeCell ref="B2:J2"/>
    <mergeCell ref="L2:N2"/>
    <mergeCell ref="P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D1" zoomScale="97" workbookViewId="0">
      <selection activeCell="E24" sqref="E24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42578125" style="3" customWidth="1"/>
    <col min="4" max="4" width="30" style="3" customWidth="1"/>
    <col min="5" max="10" width="8.85546875" style="3" customWidth="1"/>
    <col min="11" max="11" width="2.42578125" style="3" customWidth="1"/>
    <col min="12" max="12" width="31.8554687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93" t="s">
        <v>4</v>
      </c>
      <c r="D3" s="93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42826</v>
      </c>
      <c r="C6" s="7" t="s">
        <v>247</v>
      </c>
      <c r="D6" s="15" t="s">
        <v>19</v>
      </c>
      <c r="E6" s="11">
        <v>0.54</v>
      </c>
      <c r="F6" s="11">
        <v>0.23</v>
      </c>
      <c r="G6" s="11">
        <v>0.23</v>
      </c>
      <c r="H6" s="13">
        <f t="shared" ref="H6:J15" si="0">(1/E6)</f>
        <v>1.8518518518518516</v>
      </c>
      <c r="I6" s="13">
        <f t="shared" si="0"/>
        <v>4.3478260869565215</v>
      </c>
      <c r="J6" s="14">
        <f t="shared" si="0"/>
        <v>4.3478260869565215</v>
      </c>
      <c r="L6" s="22">
        <v>11</v>
      </c>
      <c r="M6" s="23" t="s">
        <v>190</v>
      </c>
      <c r="N6" s="24">
        <v>8.4</v>
      </c>
      <c r="P6" s="39" t="s">
        <v>34</v>
      </c>
      <c r="Q6" s="43">
        <f>-$E$21</f>
        <v>-2.5</v>
      </c>
      <c r="R6" s="59" t="s">
        <v>48</v>
      </c>
      <c r="S6" s="46">
        <f t="shared" ref="S6:S15" si="1">-$E$22</f>
        <v>-1</v>
      </c>
      <c r="X6" s="2">
        <f>IF(ISBLANK(P6),"",ROUND(IF(LEFT(M6,3)="Lay",(N6-1)*$E$21,$E$21),2))</f>
        <v>2.5</v>
      </c>
    </row>
    <row r="7" spans="2:24" x14ac:dyDescent="0.25">
      <c r="B7" s="9">
        <v>42826</v>
      </c>
      <c r="C7" s="7" t="s">
        <v>248</v>
      </c>
      <c r="D7" s="15" t="s">
        <v>2</v>
      </c>
      <c r="E7" s="95">
        <v>0.41</v>
      </c>
      <c r="F7" s="95">
        <v>0.28000000000000003</v>
      </c>
      <c r="G7" s="95">
        <v>0.13</v>
      </c>
      <c r="H7" s="13">
        <f t="shared" si="0"/>
        <v>2.4390243902439024</v>
      </c>
      <c r="I7" s="13">
        <f t="shared" si="0"/>
        <v>3.5714285714285712</v>
      </c>
      <c r="J7" s="14">
        <f t="shared" si="0"/>
        <v>7.6923076923076916</v>
      </c>
      <c r="L7" s="22">
        <v>7.8</v>
      </c>
      <c r="M7" s="23" t="s">
        <v>35</v>
      </c>
      <c r="N7" s="24"/>
      <c r="P7" s="39"/>
      <c r="Q7" s="43"/>
      <c r="R7" s="59" t="s">
        <v>90</v>
      </c>
      <c r="S7" s="46">
        <f t="shared" si="1"/>
        <v>-1</v>
      </c>
      <c r="X7" s="2" t="str">
        <f t="shared" ref="X7:X15" si="2">IF(ISBLANK(P7),"",ROUND(IF(LEFT(M7,3)="Lay",(N7-1)*$E$21,$E$21),2))</f>
        <v/>
      </c>
    </row>
    <row r="8" spans="2:24" x14ac:dyDescent="0.25">
      <c r="B8" s="9">
        <v>42826</v>
      </c>
      <c r="C8" s="7" t="s">
        <v>249</v>
      </c>
      <c r="D8" s="15" t="s">
        <v>15</v>
      </c>
      <c r="E8" s="11">
        <v>0.83</v>
      </c>
      <c r="F8" s="11">
        <v>0.12</v>
      </c>
      <c r="G8" s="11">
        <v>0.05</v>
      </c>
      <c r="H8" s="13">
        <f t="shared" si="0"/>
        <v>1.2048192771084338</v>
      </c>
      <c r="I8" s="13">
        <f t="shared" si="0"/>
        <v>8.3333333333333339</v>
      </c>
      <c r="J8" s="14">
        <f t="shared" si="0"/>
        <v>20</v>
      </c>
      <c r="L8" s="22">
        <v>9</v>
      </c>
      <c r="M8" s="23" t="s">
        <v>26</v>
      </c>
      <c r="N8" s="24">
        <v>29</v>
      </c>
      <c r="P8" s="39" t="s">
        <v>34</v>
      </c>
      <c r="Q8" s="43">
        <f>-$E$21</f>
        <v>-2.5</v>
      </c>
      <c r="R8" s="59" t="s">
        <v>258</v>
      </c>
      <c r="S8" s="46">
        <f t="shared" si="1"/>
        <v>-1</v>
      </c>
      <c r="X8" s="2">
        <f t="shared" si="2"/>
        <v>2.5</v>
      </c>
    </row>
    <row r="9" spans="2:24" x14ac:dyDescent="0.25">
      <c r="B9" s="9">
        <v>42826</v>
      </c>
      <c r="C9" s="7" t="s">
        <v>250</v>
      </c>
      <c r="D9" s="10" t="s">
        <v>77</v>
      </c>
      <c r="E9" s="11">
        <v>0.12</v>
      </c>
      <c r="F9" s="11">
        <v>0.18</v>
      </c>
      <c r="G9" s="11">
        <v>0.7</v>
      </c>
      <c r="H9" s="13">
        <f t="shared" si="0"/>
        <v>8.3333333333333339</v>
      </c>
      <c r="I9" s="13">
        <f t="shared" si="0"/>
        <v>5.5555555555555554</v>
      </c>
      <c r="J9" s="14">
        <f t="shared" si="0"/>
        <v>1.4285714285714286</v>
      </c>
      <c r="L9" s="22">
        <v>8.8000000000000007</v>
      </c>
      <c r="M9" s="23" t="s">
        <v>17</v>
      </c>
      <c r="N9" s="24">
        <v>10</v>
      </c>
      <c r="P9" s="39" t="s">
        <v>34</v>
      </c>
      <c r="Q9" s="43">
        <f>-$E$21</f>
        <v>-2.5</v>
      </c>
      <c r="R9" s="58" t="s">
        <v>259</v>
      </c>
      <c r="S9" s="46">
        <f t="shared" si="1"/>
        <v>-1</v>
      </c>
      <c r="X9" s="2">
        <f t="shared" si="2"/>
        <v>2.5</v>
      </c>
    </row>
    <row r="10" spans="2:24" x14ac:dyDescent="0.25">
      <c r="B10" s="9">
        <v>42826</v>
      </c>
      <c r="C10" s="7" t="s">
        <v>251</v>
      </c>
      <c r="D10" s="10" t="s">
        <v>19</v>
      </c>
      <c r="E10" s="11">
        <v>0.59</v>
      </c>
      <c r="F10" s="11">
        <v>0.21</v>
      </c>
      <c r="G10" s="11">
        <v>0.2</v>
      </c>
      <c r="H10" s="13">
        <f t="shared" si="0"/>
        <v>1.6949152542372883</v>
      </c>
      <c r="I10" s="13">
        <f t="shared" si="0"/>
        <v>4.7619047619047619</v>
      </c>
      <c r="J10" s="14">
        <f t="shared" si="0"/>
        <v>5</v>
      </c>
      <c r="L10" s="22">
        <v>9.4</v>
      </c>
      <c r="M10" s="23" t="s">
        <v>35</v>
      </c>
      <c r="N10" s="24"/>
      <c r="P10" s="39"/>
      <c r="Q10" s="43"/>
      <c r="R10" s="58" t="s">
        <v>2</v>
      </c>
      <c r="S10" s="46">
        <f t="shared" si="1"/>
        <v>-1</v>
      </c>
      <c r="X10" s="2" t="str">
        <f t="shared" si="2"/>
        <v/>
      </c>
    </row>
    <row r="11" spans="2:24" x14ac:dyDescent="0.25">
      <c r="B11" s="9">
        <v>42826</v>
      </c>
      <c r="C11" s="7" t="s">
        <v>252</v>
      </c>
      <c r="D11" s="15" t="s">
        <v>15</v>
      </c>
      <c r="E11" s="11">
        <v>0.74</v>
      </c>
      <c r="F11" s="11">
        <v>0.18</v>
      </c>
      <c r="G11" s="11">
        <v>0.08</v>
      </c>
      <c r="H11" s="13">
        <f t="shared" si="0"/>
        <v>1.3513513513513513</v>
      </c>
      <c r="I11" s="13">
        <f t="shared" si="0"/>
        <v>5.5555555555555554</v>
      </c>
      <c r="J11" s="14">
        <f t="shared" si="0"/>
        <v>12.5</v>
      </c>
      <c r="L11" s="22">
        <v>7.2</v>
      </c>
      <c r="M11" s="23" t="s">
        <v>64</v>
      </c>
      <c r="N11" s="24">
        <v>1.1499999999999999</v>
      </c>
      <c r="P11" s="39" t="s">
        <v>34</v>
      </c>
      <c r="Q11" s="43">
        <f>ROUND(-(N11-1)*$E$21,2)</f>
        <v>-0.38</v>
      </c>
      <c r="R11" s="58" t="s">
        <v>29</v>
      </c>
      <c r="S11" s="46">
        <f t="shared" si="1"/>
        <v>-1</v>
      </c>
      <c r="X11" s="2">
        <f t="shared" si="2"/>
        <v>0.38</v>
      </c>
    </row>
    <row r="12" spans="2:24" x14ac:dyDescent="0.25">
      <c r="B12" s="9">
        <v>42826</v>
      </c>
      <c r="C12" s="7" t="s">
        <v>253</v>
      </c>
      <c r="D12" s="15" t="s">
        <v>44</v>
      </c>
      <c r="E12" s="11">
        <v>0.66</v>
      </c>
      <c r="F12" s="11">
        <v>0.22</v>
      </c>
      <c r="G12" s="11">
        <v>0.12</v>
      </c>
      <c r="H12" s="13">
        <f t="shared" si="0"/>
        <v>1.5151515151515151</v>
      </c>
      <c r="I12" s="13">
        <f t="shared" si="0"/>
        <v>4.5454545454545459</v>
      </c>
      <c r="J12" s="14">
        <f t="shared" si="0"/>
        <v>8.3333333333333339</v>
      </c>
      <c r="L12" s="22">
        <v>9.6</v>
      </c>
      <c r="M12" s="23" t="s">
        <v>257</v>
      </c>
      <c r="N12" s="24">
        <v>2.36</v>
      </c>
      <c r="P12" s="39" t="s">
        <v>89</v>
      </c>
      <c r="Q12" s="43">
        <f>ROUND(((N12-1)*$E$21)*0.95,2)</f>
        <v>3.23</v>
      </c>
      <c r="R12" s="58" t="s">
        <v>15</v>
      </c>
      <c r="S12" s="46">
        <f t="shared" si="1"/>
        <v>-1</v>
      </c>
      <c r="X12" s="2">
        <f t="shared" si="2"/>
        <v>2.5</v>
      </c>
    </row>
    <row r="13" spans="2:24" x14ac:dyDescent="0.25">
      <c r="B13" s="9">
        <v>42826</v>
      </c>
      <c r="C13" s="7" t="s">
        <v>254</v>
      </c>
      <c r="D13" s="15" t="s">
        <v>15</v>
      </c>
      <c r="E13" s="11">
        <v>0.69</v>
      </c>
      <c r="F13" s="11">
        <v>0.18</v>
      </c>
      <c r="G13" s="11">
        <v>0.13</v>
      </c>
      <c r="H13" s="13">
        <f>(1/E13)</f>
        <v>1.4492753623188408</v>
      </c>
      <c r="I13" s="13">
        <f t="shared" si="0"/>
        <v>5.5555555555555554</v>
      </c>
      <c r="J13" s="14">
        <f t="shared" si="0"/>
        <v>7.6923076923076916</v>
      </c>
      <c r="L13" s="22">
        <v>9.8000000000000007</v>
      </c>
      <c r="M13" s="23" t="s">
        <v>79</v>
      </c>
      <c r="N13" s="24">
        <v>1.67</v>
      </c>
      <c r="P13" s="39" t="s">
        <v>34</v>
      </c>
      <c r="Q13" s="43">
        <f>-$E$21</f>
        <v>-2.5</v>
      </c>
      <c r="R13" s="58" t="s">
        <v>21</v>
      </c>
      <c r="S13" s="46">
        <f t="shared" si="1"/>
        <v>-1</v>
      </c>
      <c r="X13" s="2">
        <f t="shared" si="2"/>
        <v>2.5</v>
      </c>
    </row>
    <row r="14" spans="2:24" x14ac:dyDescent="0.25">
      <c r="B14" s="9">
        <v>42827</v>
      </c>
      <c r="C14" s="7" t="s">
        <v>255</v>
      </c>
      <c r="D14" s="15" t="s">
        <v>2</v>
      </c>
      <c r="E14" s="11">
        <v>0.39</v>
      </c>
      <c r="F14" s="11">
        <v>0.28000000000000003</v>
      </c>
      <c r="G14" s="11">
        <v>0.33</v>
      </c>
      <c r="H14" s="13">
        <f t="shared" si="0"/>
        <v>2.5641025641025639</v>
      </c>
      <c r="I14" s="13">
        <f t="shared" si="0"/>
        <v>3.5714285714285712</v>
      </c>
      <c r="J14" s="14">
        <f t="shared" si="0"/>
        <v>3.0303030303030303</v>
      </c>
      <c r="L14" s="22">
        <v>7.6</v>
      </c>
      <c r="M14" s="23" t="s">
        <v>121</v>
      </c>
      <c r="N14" s="24">
        <v>3.45</v>
      </c>
      <c r="P14" s="39" t="s">
        <v>34</v>
      </c>
      <c r="Q14" s="43">
        <f>-$E$21</f>
        <v>-2.5</v>
      </c>
      <c r="R14" s="58" t="s">
        <v>19</v>
      </c>
      <c r="S14" s="46">
        <f t="shared" si="1"/>
        <v>-1</v>
      </c>
      <c r="X14" s="2">
        <f t="shared" si="2"/>
        <v>2.5</v>
      </c>
    </row>
    <row r="15" spans="2:24" x14ac:dyDescent="0.25">
      <c r="B15" s="9">
        <v>42827</v>
      </c>
      <c r="C15" s="7" t="s">
        <v>256</v>
      </c>
      <c r="D15" s="15" t="s">
        <v>2</v>
      </c>
      <c r="E15" s="11">
        <v>0.19</v>
      </c>
      <c r="F15" s="11">
        <v>0.23</v>
      </c>
      <c r="G15" s="11">
        <v>0.57999999999999996</v>
      </c>
      <c r="H15" s="13">
        <f t="shared" si="0"/>
        <v>5.2631578947368425</v>
      </c>
      <c r="I15" s="13">
        <f t="shared" si="0"/>
        <v>4.3478260869565215</v>
      </c>
      <c r="J15" s="14">
        <f t="shared" si="0"/>
        <v>1.7241379310344829</v>
      </c>
      <c r="L15" s="22">
        <v>22</v>
      </c>
      <c r="M15" s="23" t="s">
        <v>96</v>
      </c>
      <c r="N15" s="24">
        <v>1.17</v>
      </c>
      <c r="P15" s="39" t="s">
        <v>34</v>
      </c>
      <c r="Q15" s="43">
        <f>ROUND(-(N15-1)*$E$21,2)</f>
        <v>-0.43</v>
      </c>
      <c r="R15" s="58" t="s">
        <v>260</v>
      </c>
      <c r="S15" s="46">
        <f t="shared" si="1"/>
        <v>-1</v>
      </c>
      <c r="X15" s="2">
        <f t="shared" si="2"/>
        <v>0.43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15.809999999999999</v>
      </c>
    </row>
    <row r="21" spans="4:24" s="3" customFormat="1" x14ac:dyDescent="0.25">
      <c r="D21" s="5" t="s">
        <v>40</v>
      </c>
      <c r="E21" s="4">
        <v>2.5</v>
      </c>
      <c r="H21" s="96"/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-10.08</v>
      </c>
      <c r="S23" s="2"/>
    </row>
    <row r="24" spans="4:24" s="3" customFormat="1" x14ac:dyDescent="0.25">
      <c r="D24" s="5" t="s">
        <v>41</v>
      </c>
      <c r="E24" s="4">
        <f>SUM(S:S)</f>
        <v>-10</v>
      </c>
      <c r="S24" s="2"/>
    </row>
    <row r="28" spans="4:24" x14ac:dyDescent="0.25">
      <c r="D28" s="3" t="s">
        <v>129</v>
      </c>
      <c r="E28" s="3">
        <f>COUNTIF(Q5:Q16,"&gt;0")</f>
        <v>1</v>
      </c>
    </row>
    <row r="29" spans="4:24" x14ac:dyDescent="0.25">
      <c r="D29" s="3" t="s">
        <v>130</v>
      </c>
      <c r="E29" s="3">
        <f>COUNTIF(S5:S16,"&gt;0")</f>
        <v>0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7" workbookViewId="0">
      <selection activeCell="Q9" sqref="Q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42578125" style="3" customWidth="1"/>
    <col min="4" max="4" width="30" style="3" customWidth="1"/>
    <col min="5" max="10" width="8.85546875" style="3" customWidth="1"/>
    <col min="11" max="11" width="2.42578125" style="3" customWidth="1"/>
    <col min="12" max="12" width="31.8554687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92" t="s">
        <v>4</v>
      </c>
      <c r="D3" s="92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42826</v>
      </c>
      <c r="C6" s="7" t="s">
        <v>233</v>
      </c>
      <c r="D6" s="15" t="s">
        <v>19</v>
      </c>
      <c r="E6" s="11">
        <v>0.52</v>
      </c>
      <c r="F6" s="11">
        <v>0.23</v>
      </c>
      <c r="G6" s="11">
        <v>0.25</v>
      </c>
      <c r="H6" s="13">
        <f t="shared" ref="H6:J14" si="0">(1/E6)</f>
        <v>1.9230769230769229</v>
      </c>
      <c r="I6" s="13">
        <f t="shared" si="0"/>
        <v>4.3478260869565215</v>
      </c>
      <c r="J6" s="14">
        <f t="shared" si="0"/>
        <v>4</v>
      </c>
      <c r="L6" s="22">
        <v>10</v>
      </c>
      <c r="M6" s="23" t="s">
        <v>64</v>
      </c>
      <c r="N6" s="24">
        <v>1.78</v>
      </c>
      <c r="P6" s="39" t="s">
        <v>34</v>
      </c>
      <c r="Q6" s="43">
        <f>ROUND(-(N6-1)*$E$21,2)</f>
        <v>-1.95</v>
      </c>
      <c r="R6" s="59" t="s">
        <v>48</v>
      </c>
      <c r="S6" s="46">
        <f t="shared" ref="S6:S15" si="1">-$E$22</f>
        <v>-1</v>
      </c>
      <c r="X6" s="2">
        <f>IF(ISBLANK(P6),"",ROUND(IF(LEFT(M6,3)="Lay",(N6-1)*$E$21,$E$21),2))</f>
        <v>1.95</v>
      </c>
    </row>
    <row r="7" spans="2:24" x14ac:dyDescent="0.25">
      <c r="B7" s="9">
        <v>42826</v>
      </c>
      <c r="C7" s="7" t="s">
        <v>237</v>
      </c>
      <c r="D7" s="15" t="s">
        <v>21</v>
      </c>
      <c r="E7" s="11">
        <v>0.19</v>
      </c>
      <c r="F7" s="11">
        <v>0.25</v>
      </c>
      <c r="G7" s="11">
        <v>0.56000000000000005</v>
      </c>
      <c r="H7" s="13">
        <f t="shared" si="0"/>
        <v>5.2631578947368425</v>
      </c>
      <c r="I7" s="13">
        <f t="shared" si="0"/>
        <v>4</v>
      </c>
      <c r="J7" s="14">
        <f t="shared" si="0"/>
        <v>1.7857142857142856</v>
      </c>
      <c r="L7" s="22">
        <v>7.4</v>
      </c>
      <c r="M7" s="23" t="s">
        <v>35</v>
      </c>
      <c r="N7" s="24"/>
      <c r="P7" s="39"/>
      <c r="Q7" s="43"/>
      <c r="R7" s="59" t="s">
        <v>77</v>
      </c>
      <c r="S7" s="46">
        <f t="shared" si="1"/>
        <v>-1</v>
      </c>
      <c r="X7" s="2" t="str">
        <f t="shared" ref="X7:X14" si="2">IF(ISBLANK(P7),"",ROUND(IF(LEFT(M7,3)="Lay",(N7-1)*$E$21,$E$21),2))</f>
        <v/>
      </c>
    </row>
    <row r="8" spans="2:24" x14ac:dyDescent="0.25">
      <c r="B8" s="9">
        <v>42826</v>
      </c>
      <c r="C8" s="7" t="s">
        <v>238</v>
      </c>
      <c r="D8" s="15" t="s">
        <v>15</v>
      </c>
      <c r="E8" s="11">
        <v>0.78</v>
      </c>
      <c r="F8" s="11">
        <v>0.15</v>
      </c>
      <c r="G8" s="11">
        <v>7.0000000000000007E-2</v>
      </c>
      <c r="H8" s="13">
        <f t="shared" si="0"/>
        <v>1.2820512820512819</v>
      </c>
      <c r="I8" s="13">
        <f t="shared" si="0"/>
        <v>6.666666666666667</v>
      </c>
      <c r="J8" s="14">
        <f t="shared" si="0"/>
        <v>14.285714285714285</v>
      </c>
      <c r="L8" s="22">
        <v>6.4</v>
      </c>
      <c r="M8" s="23" t="s">
        <v>35</v>
      </c>
      <c r="N8" s="24"/>
      <c r="P8" s="39"/>
      <c r="Q8" s="43"/>
      <c r="R8" s="59" t="s">
        <v>90</v>
      </c>
      <c r="S8" s="46">
        <f t="shared" si="1"/>
        <v>-1</v>
      </c>
      <c r="X8" s="2" t="str">
        <f t="shared" si="2"/>
        <v/>
      </c>
    </row>
    <row r="9" spans="2:24" x14ac:dyDescent="0.25">
      <c r="B9" s="9">
        <v>42826</v>
      </c>
      <c r="C9" s="7" t="s">
        <v>239</v>
      </c>
      <c r="D9" s="10" t="s">
        <v>2</v>
      </c>
      <c r="E9" s="11">
        <v>0.28999999999999998</v>
      </c>
      <c r="F9" s="11">
        <v>0.25</v>
      </c>
      <c r="G9" s="11">
        <v>0.46</v>
      </c>
      <c r="H9" s="13">
        <f t="shared" si="0"/>
        <v>3.4482758620689657</v>
      </c>
      <c r="I9" s="13">
        <f t="shared" si="0"/>
        <v>4</v>
      </c>
      <c r="J9" s="14">
        <f t="shared" si="0"/>
        <v>2.1739130434782608</v>
      </c>
      <c r="L9" s="22">
        <v>7.6</v>
      </c>
      <c r="M9" s="23" t="s">
        <v>78</v>
      </c>
      <c r="N9" s="24">
        <v>3.2</v>
      </c>
      <c r="P9" s="39" t="s">
        <v>34</v>
      </c>
      <c r="Q9" s="43">
        <f>-$E$21</f>
        <v>-2.5</v>
      </c>
      <c r="R9" s="59" t="s">
        <v>19</v>
      </c>
      <c r="S9" s="46">
        <f t="shared" si="1"/>
        <v>-1</v>
      </c>
      <c r="X9" s="2">
        <f t="shared" si="2"/>
        <v>2.5</v>
      </c>
    </row>
    <row r="10" spans="2:24" x14ac:dyDescent="0.25">
      <c r="B10" s="9">
        <v>42826</v>
      </c>
      <c r="C10" s="7" t="s">
        <v>240</v>
      </c>
      <c r="D10" s="10" t="s">
        <v>2</v>
      </c>
      <c r="E10" s="11">
        <v>0.52</v>
      </c>
      <c r="F10" s="11">
        <v>0.25</v>
      </c>
      <c r="G10" s="11">
        <v>0.23</v>
      </c>
      <c r="H10" s="13">
        <f t="shared" si="0"/>
        <v>1.9230769230769229</v>
      </c>
      <c r="I10" s="13">
        <f t="shared" si="0"/>
        <v>4</v>
      </c>
      <c r="J10" s="14">
        <f t="shared" si="0"/>
        <v>4.3478260869565215</v>
      </c>
      <c r="L10" s="22">
        <v>7.8</v>
      </c>
      <c r="M10" s="23" t="s">
        <v>35</v>
      </c>
      <c r="N10" s="24"/>
      <c r="P10" s="39"/>
      <c r="Q10" s="43"/>
      <c r="R10" s="59" t="s">
        <v>15</v>
      </c>
      <c r="S10" s="46">
        <f t="shared" si="1"/>
        <v>-1</v>
      </c>
      <c r="X10" s="2" t="str">
        <f t="shared" si="2"/>
        <v/>
      </c>
    </row>
    <row r="11" spans="2:24" x14ac:dyDescent="0.25">
      <c r="B11" s="9">
        <v>42826</v>
      </c>
      <c r="C11" s="7" t="s">
        <v>241</v>
      </c>
      <c r="D11" s="15" t="s">
        <v>44</v>
      </c>
      <c r="E11" s="11">
        <v>0.62</v>
      </c>
      <c r="F11" s="11">
        <v>0.24</v>
      </c>
      <c r="G11" s="11">
        <v>0.14000000000000001</v>
      </c>
      <c r="H11" s="13">
        <f t="shared" si="0"/>
        <v>1.6129032258064517</v>
      </c>
      <c r="I11" s="13">
        <f t="shared" si="0"/>
        <v>4.166666666666667</v>
      </c>
      <c r="J11" s="14">
        <f t="shared" si="0"/>
        <v>7.1428571428571423</v>
      </c>
      <c r="L11" s="22">
        <v>7</v>
      </c>
      <c r="M11" s="23" t="s">
        <v>80</v>
      </c>
      <c r="N11" s="24">
        <v>1.43</v>
      </c>
      <c r="P11" s="39" t="s">
        <v>89</v>
      </c>
      <c r="Q11" s="43">
        <f>ROUND($E$21*0.95,2)</f>
        <v>2.38</v>
      </c>
      <c r="R11" s="59" t="s">
        <v>51</v>
      </c>
      <c r="S11" s="46">
        <f t="shared" si="1"/>
        <v>-1</v>
      </c>
      <c r="X11" s="2">
        <f t="shared" si="2"/>
        <v>1.08</v>
      </c>
    </row>
    <row r="12" spans="2:24" x14ac:dyDescent="0.25">
      <c r="B12" s="9">
        <v>42826</v>
      </c>
      <c r="C12" s="7" t="s">
        <v>242</v>
      </c>
      <c r="D12" s="15" t="s">
        <v>44</v>
      </c>
      <c r="E12" s="11">
        <v>0.5</v>
      </c>
      <c r="F12" s="11">
        <v>0.26</v>
      </c>
      <c r="G12" s="11">
        <v>0.24</v>
      </c>
      <c r="H12" s="13">
        <f t="shared" si="0"/>
        <v>2</v>
      </c>
      <c r="I12" s="13">
        <f t="shared" si="0"/>
        <v>3.8461538461538458</v>
      </c>
      <c r="J12" s="14">
        <f t="shared" si="0"/>
        <v>4.166666666666667</v>
      </c>
      <c r="L12" s="22">
        <v>8.1999999999999993</v>
      </c>
      <c r="M12" s="23" t="s">
        <v>35</v>
      </c>
      <c r="N12" s="24"/>
      <c r="P12" s="39"/>
      <c r="Q12" s="43"/>
      <c r="R12" s="59" t="s">
        <v>44</v>
      </c>
      <c r="S12" s="46">
        <f t="shared" ref="S12" si="3">$E$22*(L12-1)*0.95</f>
        <v>6.839999999999999</v>
      </c>
      <c r="X12" s="2" t="str">
        <f t="shared" si="2"/>
        <v/>
      </c>
    </row>
    <row r="13" spans="2:24" x14ac:dyDescent="0.25">
      <c r="B13" s="9">
        <v>42826</v>
      </c>
      <c r="C13" s="7" t="s">
        <v>243</v>
      </c>
      <c r="D13" s="15" t="s">
        <v>19</v>
      </c>
      <c r="E13" s="11">
        <v>0.64</v>
      </c>
      <c r="F13" s="11">
        <v>0.2</v>
      </c>
      <c r="G13" s="11">
        <v>0.16</v>
      </c>
      <c r="H13" s="13">
        <f>(1/E13)</f>
        <v>1.5625</v>
      </c>
      <c r="I13" s="13">
        <f t="shared" si="0"/>
        <v>5</v>
      </c>
      <c r="J13" s="14">
        <f t="shared" si="0"/>
        <v>6.25</v>
      </c>
      <c r="L13" s="22">
        <v>9.6</v>
      </c>
      <c r="M13" s="23" t="s">
        <v>79</v>
      </c>
      <c r="N13" s="24">
        <v>1.69</v>
      </c>
      <c r="P13" s="39" t="s">
        <v>34</v>
      </c>
      <c r="Q13" s="43">
        <f>-$E$21</f>
        <v>-2.5</v>
      </c>
      <c r="R13" s="59" t="s">
        <v>51</v>
      </c>
      <c r="S13" s="46">
        <f t="shared" si="1"/>
        <v>-1</v>
      </c>
      <c r="X13" s="2">
        <f t="shared" si="2"/>
        <v>2.5</v>
      </c>
    </row>
    <row r="14" spans="2:24" x14ac:dyDescent="0.25">
      <c r="B14" s="9">
        <v>42827</v>
      </c>
      <c r="C14" s="7" t="s">
        <v>244</v>
      </c>
      <c r="D14" s="15" t="s">
        <v>44</v>
      </c>
      <c r="E14" s="11">
        <v>0.48</v>
      </c>
      <c r="F14" s="11">
        <v>0.3</v>
      </c>
      <c r="G14" s="11">
        <v>0.22</v>
      </c>
      <c r="H14" s="13">
        <f t="shared" si="0"/>
        <v>2.0833333333333335</v>
      </c>
      <c r="I14" s="13">
        <f t="shared" si="0"/>
        <v>3.3333333333333335</v>
      </c>
      <c r="J14" s="14">
        <f t="shared" si="0"/>
        <v>4.5454545454545459</v>
      </c>
      <c r="L14" s="22">
        <v>7.6</v>
      </c>
      <c r="M14" s="23" t="s">
        <v>35</v>
      </c>
      <c r="N14" s="24"/>
      <c r="P14" s="39"/>
      <c r="Q14" s="43"/>
      <c r="R14" s="59" t="s">
        <v>51</v>
      </c>
      <c r="S14" s="46">
        <f t="shared" si="1"/>
        <v>-1</v>
      </c>
      <c r="X14" s="2" t="str">
        <f t="shared" si="2"/>
        <v/>
      </c>
    </row>
    <row r="15" spans="2:24" x14ac:dyDescent="0.25">
      <c r="B15" s="9">
        <v>42827</v>
      </c>
      <c r="C15" s="7" t="s">
        <v>245</v>
      </c>
      <c r="D15" s="15" t="s">
        <v>2</v>
      </c>
      <c r="E15" s="11">
        <v>0.45</v>
      </c>
      <c r="F15" s="11">
        <v>0.25</v>
      </c>
      <c r="G15" s="11">
        <v>0.3</v>
      </c>
      <c r="H15" s="13">
        <f t="shared" ref="H15" si="4">(1/E15)</f>
        <v>2.2222222222222223</v>
      </c>
      <c r="I15" s="13">
        <f t="shared" ref="I15" si="5">(1/F15)</f>
        <v>4</v>
      </c>
      <c r="J15" s="14">
        <f t="shared" ref="J15" si="6">(1/G15)</f>
        <v>3.3333333333333335</v>
      </c>
      <c r="L15" s="22">
        <v>8.8000000000000007</v>
      </c>
      <c r="M15" s="23" t="s">
        <v>94</v>
      </c>
      <c r="N15" s="24">
        <v>3.15</v>
      </c>
      <c r="P15" s="39" t="s">
        <v>34</v>
      </c>
      <c r="Q15" s="43">
        <f>-$E$21</f>
        <v>-2.5</v>
      </c>
      <c r="R15" s="59" t="s">
        <v>124</v>
      </c>
      <c r="S15" s="46">
        <f t="shared" si="1"/>
        <v>-1</v>
      </c>
      <c r="X15" s="2">
        <f t="shared" ref="X15" si="7">IF(ISBLANK(P15),"",ROUND(IF(LEFT(M15,3)="Lay",(N15-1)*$E$21,$E$21),2))</f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10.530000000000001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-7.07</v>
      </c>
      <c r="S23" s="2"/>
    </row>
    <row r="24" spans="4:24" s="3" customFormat="1" x14ac:dyDescent="0.25">
      <c r="D24" s="5" t="s">
        <v>41</v>
      </c>
      <c r="E24" s="4">
        <f>SUM(S:S)</f>
        <v>-2.160000000000001</v>
      </c>
      <c r="S24" s="2"/>
    </row>
    <row r="28" spans="4:24" x14ac:dyDescent="0.25">
      <c r="D28" s="3" t="s">
        <v>129</v>
      </c>
      <c r="E28" s="3">
        <f>COUNTIF(Q5:Q16,"&gt;0")</f>
        <v>1</v>
      </c>
    </row>
    <row r="29" spans="4:24" x14ac:dyDescent="0.25">
      <c r="D29" s="3" t="s">
        <v>130</v>
      </c>
      <c r="E29" s="3">
        <f>COUNTIF(S5:S16,"&gt;0")</f>
        <v>1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D1" zoomScale="97" workbookViewId="0">
      <selection activeCell="Q7" sqref="Q7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42578125" style="3" customWidth="1"/>
    <col min="4" max="4" width="30" style="3" customWidth="1"/>
    <col min="5" max="10" width="8.85546875" style="3" customWidth="1"/>
    <col min="11" max="11" width="2.42578125" style="3" customWidth="1"/>
    <col min="12" max="12" width="31.8554687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85" t="s">
        <v>4</v>
      </c>
      <c r="D3" s="85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42812</v>
      </c>
      <c r="C6" s="7" t="s">
        <v>235</v>
      </c>
      <c r="D6" s="15" t="s">
        <v>2</v>
      </c>
      <c r="E6" s="11">
        <v>0.25</v>
      </c>
      <c r="F6" s="11">
        <v>0.26</v>
      </c>
      <c r="G6" s="11">
        <v>0.49</v>
      </c>
      <c r="H6" s="13">
        <f t="shared" ref="H6:J14" si="0">(1/E6)</f>
        <v>4</v>
      </c>
      <c r="I6" s="13">
        <f t="shared" si="0"/>
        <v>3.8461538461538458</v>
      </c>
      <c r="J6" s="14">
        <f t="shared" si="0"/>
        <v>2.0408163265306123</v>
      </c>
      <c r="L6" s="22">
        <v>8.4</v>
      </c>
      <c r="M6" s="23" t="s">
        <v>231</v>
      </c>
      <c r="N6" s="24">
        <v>1.78</v>
      </c>
      <c r="P6" s="39" t="s">
        <v>89</v>
      </c>
      <c r="Q6" s="43">
        <f>ROUND($E$21*0.95,2)</f>
        <v>2.38</v>
      </c>
      <c r="R6" s="59" t="s">
        <v>48</v>
      </c>
      <c r="S6" s="46">
        <f t="shared" ref="S6" si="1">-$E$22</f>
        <v>-1</v>
      </c>
      <c r="X6" s="2">
        <f>IF(ISBLANK(P6),"",ROUND(IF(LEFT(M6,3)="Lay",(N6-1)*$E$21,$E$21),2))</f>
        <v>1.95</v>
      </c>
    </row>
    <row r="7" spans="2:24" x14ac:dyDescent="0.25">
      <c r="B7" s="9">
        <v>42812</v>
      </c>
      <c r="C7" s="7" t="s">
        <v>223</v>
      </c>
      <c r="D7" s="15" t="s">
        <v>15</v>
      </c>
      <c r="E7" s="11">
        <v>0.74</v>
      </c>
      <c r="F7" s="11">
        <v>0.17</v>
      </c>
      <c r="G7" s="11">
        <v>0.09</v>
      </c>
      <c r="H7" s="13">
        <f t="shared" si="0"/>
        <v>1.3513513513513513</v>
      </c>
      <c r="I7" s="13">
        <f t="shared" si="0"/>
        <v>5.8823529411764701</v>
      </c>
      <c r="J7" s="14">
        <f t="shared" si="0"/>
        <v>11.111111111111111</v>
      </c>
      <c r="L7" s="22">
        <v>8.8000000000000007</v>
      </c>
      <c r="M7" s="23" t="s">
        <v>190</v>
      </c>
      <c r="N7" s="24">
        <v>1.55</v>
      </c>
      <c r="P7" s="39" t="s">
        <v>89</v>
      </c>
      <c r="Q7" s="43">
        <f>ROUND(((N7-1)*$E$21)*0.95,2)</f>
        <v>1.31</v>
      </c>
      <c r="R7" s="59" t="s">
        <v>108</v>
      </c>
      <c r="S7" s="46">
        <f>S6</f>
        <v>-1</v>
      </c>
      <c r="X7" s="2">
        <f t="shared" ref="X7:X15" si="2">IF(ISBLANK(P7),"",ROUND(IF(LEFT(M7,3)="Lay",(N7-1)*$E$21,$E$21),2))</f>
        <v>2.5</v>
      </c>
    </row>
    <row r="8" spans="2:24" x14ac:dyDescent="0.25">
      <c r="B8" s="9">
        <v>42812</v>
      </c>
      <c r="C8" s="7" t="s">
        <v>224</v>
      </c>
      <c r="D8" s="15" t="s">
        <v>21</v>
      </c>
      <c r="E8" s="11">
        <v>0.2</v>
      </c>
      <c r="F8" s="11">
        <v>0.25</v>
      </c>
      <c r="G8" s="11">
        <v>0.55000000000000004</v>
      </c>
      <c r="H8" s="13">
        <f t="shared" si="0"/>
        <v>5</v>
      </c>
      <c r="I8" s="13">
        <f t="shared" si="0"/>
        <v>4</v>
      </c>
      <c r="J8" s="14">
        <f t="shared" si="0"/>
        <v>1.8181818181818181</v>
      </c>
      <c r="L8" s="22">
        <v>7</v>
      </c>
      <c r="M8" s="23" t="s">
        <v>101</v>
      </c>
      <c r="N8" s="24">
        <v>6.4</v>
      </c>
      <c r="P8" s="39" t="s">
        <v>34</v>
      </c>
      <c r="Q8" s="43">
        <f>-$E$21</f>
        <v>-2.5</v>
      </c>
      <c r="R8" s="59" t="s">
        <v>90</v>
      </c>
      <c r="S8" s="46">
        <f t="shared" ref="S8:S14" si="3">S7</f>
        <v>-1</v>
      </c>
      <c r="X8" s="2">
        <f t="shared" si="2"/>
        <v>2.5</v>
      </c>
    </row>
    <row r="9" spans="2:24" x14ac:dyDescent="0.25">
      <c r="B9" s="9">
        <v>42812</v>
      </c>
      <c r="C9" s="7" t="s">
        <v>225</v>
      </c>
      <c r="D9" s="10" t="s">
        <v>2</v>
      </c>
      <c r="E9" s="11">
        <v>0.39</v>
      </c>
      <c r="F9" s="11">
        <v>0.28000000000000003</v>
      </c>
      <c r="G9" s="11">
        <v>0.33</v>
      </c>
      <c r="H9" s="13">
        <f t="shared" si="0"/>
        <v>2.5641025641025639</v>
      </c>
      <c r="I9" s="13">
        <f t="shared" si="0"/>
        <v>3.5714285714285712</v>
      </c>
      <c r="J9" s="14">
        <f t="shared" si="0"/>
        <v>3.0303030303030303</v>
      </c>
      <c r="L9" s="22">
        <v>7.2</v>
      </c>
      <c r="M9" s="23" t="s">
        <v>35</v>
      </c>
      <c r="N9" s="24"/>
      <c r="P9" s="39"/>
      <c r="Q9" s="43"/>
      <c r="R9" s="58" t="s">
        <v>51</v>
      </c>
      <c r="S9" s="46">
        <f t="shared" si="3"/>
        <v>-1</v>
      </c>
      <c r="X9" s="2" t="str">
        <f t="shared" si="2"/>
        <v/>
      </c>
    </row>
    <row r="10" spans="2:24" x14ac:dyDescent="0.25">
      <c r="B10" s="9">
        <v>42812</v>
      </c>
      <c r="C10" s="7" t="s">
        <v>226</v>
      </c>
      <c r="D10" s="10" t="s">
        <v>2</v>
      </c>
      <c r="E10" s="11">
        <v>0.47</v>
      </c>
      <c r="F10" s="11">
        <v>0.24</v>
      </c>
      <c r="G10" s="11">
        <v>0.28999999999999998</v>
      </c>
      <c r="H10" s="13">
        <f t="shared" si="0"/>
        <v>2.1276595744680851</v>
      </c>
      <c r="I10" s="13">
        <f t="shared" si="0"/>
        <v>4.166666666666667</v>
      </c>
      <c r="J10" s="14">
        <f t="shared" si="0"/>
        <v>3.4482758620689657</v>
      </c>
      <c r="L10" s="22">
        <v>7.4</v>
      </c>
      <c r="M10" s="23" t="s">
        <v>78</v>
      </c>
      <c r="N10" s="24">
        <v>2.44</v>
      </c>
      <c r="P10" s="39" t="s">
        <v>34</v>
      </c>
      <c r="Q10" s="43">
        <f>Q8</f>
        <v>-2.5</v>
      </c>
      <c r="R10" s="58" t="s">
        <v>236</v>
      </c>
      <c r="S10" s="46">
        <f t="shared" si="3"/>
        <v>-1</v>
      </c>
      <c r="X10" s="2">
        <f t="shared" si="2"/>
        <v>2.5</v>
      </c>
    </row>
    <row r="11" spans="2:24" x14ac:dyDescent="0.25">
      <c r="B11" s="9">
        <v>42812</v>
      </c>
      <c r="C11" s="7" t="s">
        <v>227</v>
      </c>
      <c r="D11" s="15" t="s">
        <v>19</v>
      </c>
      <c r="E11" s="11">
        <v>0.5</v>
      </c>
      <c r="F11" s="11">
        <v>0.22</v>
      </c>
      <c r="G11" s="11">
        <v>0.28000000000000003</v>
      </c>
      <c r="H11" s="13">
        <f t="shared" si="0"/>
        <v>2</v>
      </c>
      <c r="I11" s="13">
        <f t="shared" si="0"/>
        <v>4.5454545454545459</v>
      </c>
      <c r="J11" s="14">
        <f t="shared" si="0"/>
        <v>3.5714285714285712</v>
      </c>
      <c r="L11" s="22">
        <v>10</v>
      </c>
      <c r="M11" s="23" t="s">
        <v>62</v>
      </c>
      <c r="N11" s="24">
        <v>3.65</v>
      </c>
      <c r="P11" s="39" t="s">
        <v>89</v>
      </c>
      <c r="Q11" s="43">
        <f>ROUND($E$21*0.95,2)</f>
        <v>2.38</v>
      </c>
      <c r="R11" s="58" t="s">
        <v>15</v>
      </c>
      <c r="S11" s="46">
        <f t="shared" si="3"/>
        <v>-1</v>
      </c>
      <c r="X11" s="2">
        <f t="shared" si="2"/>
        <v>6.63</v>
      </c>
    </row>
    <row r="12" spans="2:24" x14ac:dyDescent="0.25">
      <c r="B12" s="9">
        <v>42813</v>
      </c>
      <c r="C12" s="7" t="s">
        <v>228</v>
      </c>
      <c r="D12" s="15" t="s">
        <v>51</v>
      </c>
      <c r="E12" s="11">
        <v>0.19</v>
      </c>
      <c r="F12" s="11">
        <v>0.37</v>
      </c>
      <c r="G12" s="11">
        <v>0.44</v>
      </c>
      <c r="H12" s="13">
        <f t="shared" si="0"/>
        <v>5.2631578947368425</v>
      </c>
      <c r="I12" s="13">
        <f t="shared" si="0"/>
        <v>2.7027027027027026</v>
      </c>
      <c r="J12" s="14">
        <f t="shared" si="0"/>
        <v>2.2727272727272729</v>
      </c>
      <c r="L12" s="22">
        <v>10.5</v>
      </c>
      <c r="M12" s="23" t="s">
        <v>80</v>
      </c>
      <c r="N12" s="24">
        <v>1.74</v>
      </c>
      <c r="P12" s="39" t="s">
        <v>34</v>
      </c>
      <c r="Q12" s="43">
        <f>ROUND(-(N12-1)*$E$21,2)</f>
        <v>-1.85</v>
      </c>
      <c r="R12" s="58" t="s">
        <v>92</v>
      </c>
      <c r="S12" s="46">
        <f t="shared" si="3"/>
        <v>-1</v>
      </c>
      <c r="X12" s="2">
        <f t="shared" si="2"/>
        <v>1.85</v>
      </c>
    </row>
    <row r="13" spans="2:24" x14ac:dyDescent="0.25">
      <c r="B13" s="9">
        <v>42813</v>
      </c>
      <c r="C13" s="7" t="s">
        <v>229</v>
      </c>
      <c r="D13" s="15" t="s">
        <v>44</v>
      </c>
      <c r="E13" s="11">
        <v>0.64</v>
      </c>
      <c r="F13" s="11">
        <v>0.21</v>
      </c>
      <c r="G13" s="11">
        <v>0.15</v>
      </c>
      <c r="H13" s="13">
        <f>(1/E13)</f>
        <v>1.5625</v>
      </c>
      <c r="I13" s="13">
        <f t="shared" si="0"/>
        <v>4.7619047619047619</v>
      </c>
      <c r="J13" s="14">
        <f t="shared" si="0"/>
        <v>6.666666666666667</v>
      </c>
      <c r="L13" s="22">
        <v>8.1999999999999993</v>
      </c>
      <c r="M13" s="23" t="s">
        <v>200</v>
      </c>
      <c r="N13" s="24">
        <v>1.73</v>
      </c>
      <c r="P13" s="39" t="s">
        <v>89</v>
      </c>
      <c r="Q13" s="43">
        <f>ROUND(((N13-1)*$E$21)*0.95,2)</f>
        <v>1.73</v>
      </c>
      <c r="R13" s="58" t="s">
        <v>19</v>
      </c>
      <c r="S13" s="46">
        <f t="shared" si="3"/>
        <v>-1</v>
      </c>
      <c r="X13" s="2">
        <f t="shared" si="2"/>
        <v>2.5</v>
      </c>
    </row>
    <row r="14" spans="2:24" x14ac:dyDescent="0.25">
      <c r="B14" s="9">
        <v>42813</v>
      </c>
      <c r="C14" s="7" t="s">
        <v>230</v>
      </c>
      <c r="D14" s="15" t="s">
        <v>19</v>
      </c>
      <c r="E14" s="11">
        <v>0.55000000000000004</v>
      </c>
      <c r="F14" s="11">
        <v>0.22</v>
      </c>
      <c r="G14" s="11">
        <v>0.23</v>
      </c>
      <c r="H14" s="13">
        <f t="shared" si="0"/>
        <v>1.8181818181818181</v>
      </c>
      <c r="I14" s="13">
        <f t="shared" si="0"/>
        <v>4.5454545454545459</v>
      </c>
      <c r="J14" s="14">
        <f t="shared" si="0"/>
        <v>4.3478260869565215</v>
      </c>
      <c r="L14" s="22">
        <v>10</v>
      </c>
      <c r="M14" s="23" t="s">
        <v>135</v>
      </c>
      <c r="N14" s="24">
        <v>2.04</v>
      </c>
      <c r="P14" s="39" t="s">
        <v>34</v>
      </c>
      <c r="Q14" s="43">
        <f>-$E$21</f>
        <v>-2.5</v>
      </c>
      <c r="R14" s="58" t="s">
        <v>2</v>
      </c>
      <c r="S14" s="46">
        <f t="shared" si="3"/>
        <v>-1</v>
      </c>
      <c r="X14" s="2">
        <f t="shared" si="2"/>
        <v>2.5</v>
      </c>
    </row>
    <row r="15" spans="2:24" x14ac:dyDescent="0.25">
      <c r="B15" s="9"/>
      <c r="C15" s="7"/>
      <c r="D15" s="15"/>
      <c r="E15" s="11"/>
      <c r="F15" s="11"/>
      <c r="G15" s="11"/>
      <c r="H15" s="13"/>
      <c r="I15" s="13"/>
      <c r="J15" s="14"/>
      <c r="L15" s="22" t="s">
        <v>232</v>
      </c>
      <c r="M15" s="23"/>
      <c r="N15" s="24"/>
      <c r="P15" s="39"/>
      <c r="Q15" s="43"/>
      <c r="R15" s="58"/>
      <c r="S15" s="46"/>
      <c r="X15" s="2" t="str">
        <f t="shared" si="2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22.93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-1.5500000000000003</v>
      </c>
      <c r="S23" s="2"/>
    </row>
    <row r="24" spans="4:24" s="3" customFormat="1" x14ac:dyDescent="0.25">
      <c r="D24" s="5" t="s">
        <v>41</v>
      </c>
      <c r="E24" s="4">
        <f>SUM(S:S)</f>
        <v>-9</v>
      </c>
      <c r="S24" s="2"/>
    </row>
    <row r="28" spans="4:24" x14ac:dyDescent="0.25">
      <c r="D28" s="3" t="s">
        <v>129</v>
      </c>
      <c r="E28" s="3">
        <f>COUNTIF(Q5:Q16,"&gt;0")</f>
        <v>4</v>
      </c>
    </row>
    <row r="29" spans="4:24" x14ac:dyDescent="0.25">
      <c r="D29" s="3" t="s">
        <v>130</v>
      </c>
      <c r="E29" s="3">
        <f>COUNTIF(S5:S16,"&gt;0")</f>
        <v>0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D1" zoomScale="97" workbookViewId="0">
      <selection activeCell="Q6" sqref="Q6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42578125" style="3" customWidth="1"/>
    <col min="4" max="4" width="30" style="3" customWidth="1"/>
    <col min="5" max="10" width="8.85546875" style="3" customWidth="1"/>
    <col min="11" max="11" width="2.42578125" style="3" customWidth="1"/>
    <col min="12" max="12" width="31.8554687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84" t="s">
        <v>4</v>
      </c>
      <c r="D3" s="84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42798</v>
      </c>
      <c r="C6" s="7" t="s">
        <v>206</v>
      </c>
      <c r="D6" s="15" t="s">
        <v>15</v>
      </c>
      <c r="E6" s="11">
        <v>0.73</v>
      </c>
      <c r="F6" s="11">
        <v>0.17</v>
      </c>
      <c r="G6" s="11">
        <v>0.1</v>
      </c>
      <c r="H6" s="13">
        <f t="shared" ref="H6:J14" si="0">(1/E6)</f>
        <v>1.3698630136986301</v>
      </c>
      <c r="I6" s="13">
        <f t="shared" si="0"/>
        <v>5.8823529411764701</v>
      </c>
      <c r="J6" s="14">
        <f t="shared" si="0"/>
        <v>10</v>
      </c>
      <c r="L6" s="22">
        <v>7.2</v>
      </c>
      <c r="M6" s="23" t="s">
        <v>80</v>
      </c>
      <c r="N6" s="24">
        <v>1.28</v>
      </c>
      <c r="P6" s="39" t="s">
        <v>89</v>
      </c>
      <c r="Q6" s="43">
        <f>ROUND($E$21*0.95,2)</f>
        <v>2.38</v>
      </c>
      <c r="R6" s="59" t="s">
        <v>2</v>
      </c>
      <c r="S6" s="46">
        <f t="shared" ref="S6:S14" si="1">-$E$22</f>
        <v>-1</v>
      </c>
      <c r="X6" s="2">
        <f>IF(ISBLANK(P6),"",ROUND(IF(LEFT(M6,3)="Lay",(N6-1)*$E$21,$E$21),2))</f>
        <v>0.7</v>
      </c>
    </row>
    <row r="7" spans="2:24" x14ac:dyDescent="0.25">
      <c r="B7" s="9">
        <v>42798</v>
      </c>
      <c r="C7" s="7" t="s">
        <v>207</v>
      </c>
      <c r="D7" s="15" t="s">
        <v>44</v>
      </c>
      <c r="E7" s="11">
        <v>0.64</v>
      </c>
      <c r="F7" s="11">
        <v>0.22</v>
      </c>
      <c r="G7" s="11">
        <v>0.14000000000000001</v>
      </c>
      <c r="H7" s="13">
        <f t="shared" si="0"/>
        <v>1.5625</v>
      </c>
      <c r="I7" s="13">
        <f t="shared" si="0"/>
        <v>4.5454545454545459</v>
      </c>
      <c r="J7" s="14">
        <f t="shared" si="0"/>
        <v>7.1428571428571423</v>
      </c>
      <c r="L7" s="22">
        <v>7.6</v>
      </c>
      <c r="M7" s="23" t="s">
        <v>63</v>
      </c>
      <c r="N7" s="24">
        <v>1.87</v>
      </c>
      <c r="P7" s="39" t="s">
        <v>89</v>
      </c>
      <c r="Q7" s="43">
        <f>ROUND(((N7-1)*$E$21)*0.95,2)</f>
        <v>2.0699999999999998</v>
      </c>
      <c r="R7" s="59" t="s">
        <v>48</v>
      </c>
      <c r="S7" s="46">
        <f t="shared" si="1"/>
        <v>-1</v>
      </c>
      <c r="X7" s="2">
        <f t="shared" ref="X7:X15" si="2">IF(ISBLANK(P7),"",ROUND(IF(LEFT(M7,3)="Lay",(N7-1)*$E$21,$E$21),2))</f>
        <v>2.5</v>
      </c>
    </row>
    <row r="8" spans="2:24" x14ac:dyDescent="0.25">
      <c r="B8" s="9">
        <v>42798</v>
      </c>
      <c r="C8" s="7" t="s">
        <v>208</v>
      </c>
      <c r="D8" s="15" t="s">
        <v>44</v>
      </c>
      <c r="E8" s="11">
        <v>0.45</v>
      </c>
      <c r="F8" s="11">
        <v>0.33</v>
      </c>
      <c r="G8" s="11">
        <v>0.22</v>
      </c>
      <c r="H8" s="13">
        <f t="shared" si="0"/>
        <v>2.2222222222222223</v>
      </c>
      <c r="I8" s="13">
        <f t="shared" si="0"/>
        <v>3.0303030303030303</v>
      </c>
      <c r="J8" s="14">
        <f t="shared" si="0"/>
        <v>4.5454545454545459</v>
      </c>
      <c r="L8" s="22">
        <v>6.6</v>
      </c>
      <c r="M8" s="23" t="s">
        <v>61</v>
      </c>
      <c r="N8" s="24">
        <v>3.4</v>
      </c>
      <c r="P8" s="39" t="s">
        <v>34</v>
      </c>
      <c r="Q8" s="43">
        <f>-$E$21</f>
        <v>-2.5</v>
      </c>
      <c r="R8" s="59" t="s">
        <v>15</v>
      </c>
      <c r="S8" s="46">
        <f t="shared" si="1"/>
        <v>-1</v>
      </c>
      <c r="X8" s="2">
        <f t="shared" si="2"/>
        <v>2.5</v>
      </c>
    </row>
    <row r="9" spans="2:24" x14ac:dyDescent="0.25">
      <c r="B9" s="9">
        <v>42798</v>
      </c>
      <c r="C9" s="7" t="s">
        <v>209</v>
      </c>
      <c r="D9" s="10" t="s">
        <v>2</v>
      </c>
      <c r="E9" s="11">
        <v>0.44</v>
      </c>
      <c r="F9" s="11">
        <v>0.26</v>
      </c>
      <c r="G9" s="11">
        <v>0.3</v>
      </c>
      <c r="H9" s="13">
        <f t="shared" si="0"/>
        <v>2.2727272727272729</v>
      </c>
      <c r="I9" s="13">
        <f t="shared" si="0"/>
        <v>3.8461538461538458</v>
      </c>
      <c r="J9" s="14">
        <f t="shared" si="0"/>
        <v>3.3333333333333335</v>
      </c>
      <c r="L9" s="22">
        <v>7.6</v>
      </c>
      <c r="M9" s="23" t="s">
        <v>35</v>
      </c>
      <c r="N9" s="24"/>
      <c r="P9" s="39"/>
      <c r="Q9" s="43"/>
      <c r="R9" s="58" t="s">
        <v>30</v>
      </c>
      <c r="S9" s="46">
        <f t="shared" si="1"/>
        <v>-1</v>
      </c>
      <c r="X9" s="2" t="str">
        <f t="shared" si="2"/>
        <v/>
      </c>
    </row>
    <row r="10" spans="2:24" x14ac:dyDescent="0.25">
      <c r="B10" s="9">
        <v>42798</v>
      </c>
      <c r="C10" s="7" t="s">
        <v>210</v>
      </c>
      <c r="D10" s="10" t="s">
        <v>2</v>
      </c>
      <c r="E10" s="11">
        <v>0.33</v>
      </c>
      <c r="F10" s="11">
        <v>0.28000000000000003</v>
      </c>
      <c r="G10" s="11">
        <v>0.4</v>
      </c>
      <c r="H10" s="13">
        <f t="shared" si="0"/>
        <v>3.0303030303030303</v>
      </c>
      <c r="I10" s="13">
        <f t="shared" si="0"/>
        <v>3.5714285714285712</v>
      </c>
      <c r="J10" s="14">
        <f t="shared" si="0"/>
        <v>2.5</v>
      </c>
      <c r="L10" s="22">
        <v>7.2</v>
      </c>
      <c r="M10" s="23" t="s">
        <v>123</v>
      </c>
      <c r="N10" s="24">
        <v>3.7</v>
      </c>
      <c r="P10" s="39" t="s">
        <v>34</v>
      </c>
      <c r="Q10" s="43">
        <f>-$E$21</f>
        <v>-2.5</v>
      </c>
      <c r="R10" s="58" t="s">
        <v>215</v>
      </c>
      <c r="S10" s="46">
        <f t="shared" si="1"/>
        <v>-1</v>
      </c>
      <c r="X10" s="2">
        <f t="shared" si="2"/>
        <v>2.5</v>
      </c>
    </row>
    <row r="11" spans="2:24" x14ac:dyDescent="0.25">
      <c r="B11" s="9">
        <v>42798</v>
      </c>
      <c r="C11" s="7" t="s">
        <v>211</v>
      </c>
      <c r="D11" s="15" t="s">
        <v>44</v>
      </c>
      <c r="E11" s="11">
        <v>0.54</v>
      </c>
      <c r="F11" s="11">
        <v>0.25</v>
      </c>
      <c r="G11" s="11">
        <v>0.21</v>
      </c>
      <c r="H11" s="13">
        <f t="shared" si="0"/>
        <v>1.8518518518518516</v>
      </c>
      <c r="I11" s="13">
        <f t="shared" si="0"/>
        <v>4</v>
      </c>
      <c r="J11" s="14">
        <f t="shared" si="0"/>
        <v>4.7619047619047619</v>
      </c>
      <c r="L11" s="22">
        <v>7.6</v>
      </c>
      <c r="M11" s="23" t="s">
        <v>121</v>
      </c>
      <c r="N11" s="24">
        <v>2.2000000000000002</v>
      </c>
      <c r="P11" s="39" t="s">
        <v>34</v>
      </c>
      <c r="Q11" s="43">
        <f>-$E$21</f>
        <v>-2.5</v>
      </c>
      <c r="R11" s="58" t="s">
        <v>77</v>
      </c>
      <c r="S11" s="46">
        <f t="shared" si="1"/>
        <v>-1</v>
      </c>
      <c r="X11" s="2">
        <f t="shared" si="2"/>
        <v>2.5</v>
      </c>
    </row>
    <row r="12" spans="2:24" x14ac:dyDescent="0.25">
      <c r="B12" s="9">
        <v>42798</v>
      </c>
      <c r="C12" s="7" t="s">
        <v>212</v>
      </c>
      <c r="D12" s="15" t="s">
        <v>2</v>
      </c>
      <c r="E12" s="11">
        <v>0.42</v>
      </c>
      <c r="F12" s="11">
        <v>0.24</v>
      </c>
      <c r="G12" s="11">
        <v>0.34</v>
      </c>
      <c r="H12" s="13">
        <f t="shared" si="0"/>
        <v>2.3809523809523809</v>
      </c>
      <c r="I12" s="13">
        <f t="shared" si="0"/>
        <v>4.166666666666667</v>
      </c>
      <c r="J12" s="14">
        <f t="shared" si="0"/>
        <v>2.9411764705882351</v>
      </c>
      <c r="L12" s="22">
        <v>8</v>
      </c>
      <c r="M12" s="23" t="s">
        <v>94</v>
      </c>
      <c r="N12" s="24">
        <v>3.75</v>
      </c>
      <c r="P12" s="39" t="s">
        <v>34</v>
      </c>
      <c r="Q12" s="43">
        <f>-$E$21</f>
        <v>-2.5</v>
      </c>
      <c r="R12" s="58" t="s">
        <v>48</v>
      </c>
      <c r="S12" s="46">
        <f t="shared" si="1"/>
        <v>-1</v>
      </c>
      <c r="X12" s="2">
        <f t="shared" si="2"/>
        <v>2.5</v>
      </c>
    </row>
    <row r="13" spans="2:24" x14ac:dyDescent="0.25">
      <c r="B13" s="9">
        <v>42799</v>
      </c>
      <c r="C13" s="7" t="s">
        <v>213</v>
      </c>
      <c r="D13" s="15" t="s">
        <v>44</v>
      </c>
      <c r="E13" s="11">
        <v>0.63</v>
      </c>
      <c r="F13" s="11">
        <v>0.22</v>
      </c>
      <c r="G13" s="11">
        <v>0.15</v>
      </c>
      <c r="H13" s="13">
        <f>(1/E13)</f>
        <v>1.5873015873015872</v>
      </c>
      <c r="I13" s="13">
        <f t="shared" si="0"/>
        <v>4.5454545454545459</v>
      </c>
      <c r="J13" s="14">
        <f t="shared" si="0"/>
        <v>6.666666666666667</v>
      </c>
      <c r="L13" s="22">
        <v>8.8000000000000007</v>
      </c>
      <c r="M13" s="23" t="s">
        <v>200</v>
      </c>
      <c r="N13" s="24">
        <v>1.68</v>
      </c>
      <c r="P13" s="39" t="s">
        <v>89</v>
      </c>
      <c r="Q13" s="43">
        <f>ROUND(((N13-1)*$E$21)*0.95,2)</f>
        <v>1.62</v>
      </c>
      <c r="R13" s="58" t="s">
        <v>30</v>
      </c>
      <c r="S13" s="46">
        <f t="shared" si="1"/>
        <v>-1</v>
      </c>
      <c r="X13" s="2">
        <f t="shared" si="2"/>
        <v>2.5</v>
      </c>
    </row>
    <row r="14" spans="2:24" x14ac:dyDescent="0.25">
      <c r="B14" s="9">
        <v>42799</v>
      </c>
      <c r="C14" s="7" t="s">
        <v>214</v>
      </c>
      <c r="D14" s="15" t="s">
        <v>90</v>
      </c>
      <c r="E14" s="11">
        <v>0.17</v>
      </c>
      <c r="F14" s="11">
        <v>0.21</v>
      </c>
      <c r="G14" s="11">
        <v>0.62</v>
      </c>
      <c r="H14" s="13">
        <f t="shared" si="0"/>
        <v>5.8823529411764701</v>
      </c>
      <c r="I14" s="13">
        <f t="shared" si="0"/>
        <v>4.7619047619047619</v>
      </c>
      <c r="J14" s="14">
        <f t="shared" si="0"/>
        <v>1.6129032258064517</v>
      </c>
      <c r="L14" s="22">
        <v>10</v>
      </c>
      <c r="M14" s="23" t="s">
        <v>96</v>
      </c>
      <c r="N14" s="24">
        <v>1.32</v>
      </c>
      <c r="P14" s="39" t="s">
        <v>34</v>
      </c>
      <c r="Q14" s="43">
        <f>ROUND(-(N14-1)*$E$21,2)</f>
        <v>-0.8</v>
      </c>
      <c r="R14" s="58" t="s">
        <v>77</v>
      </c>
      <c r="S14" s="46">
        <f t="shared" si="1"/>
        <v>-1</v>
      </c>
      <c r="X14" s="2">
        <f t="shared" si="2"/>
        <v>0.8</v>
      </c>
    </row>
    <row r="15" spans="2:24" x14ac:dyDescent="0.25">
      <c r="B15" s="9"/>
      <c r="C15" s="7"/>
      <c r="D15" s="15"/>
      <c r="E15" s="11"/>
      <c r="F15" s="11"/>
      <c r="G15" s="11"/>
      <c r="H15" s="13"/>
      <c r="I15" s="13"/>
      <c r="J15" s="14"/>
      <c r="L15" s="22"/>
      <c r="M15" s="23"/>
      <c r="N15" s="24"/>
      <c r="P15" s="39"/>
      <c r="Q15" s="43"/>
      <c r="R15" s="58"/>
      <c r="S15" s="46"/>
      <c r="X15" s="2" t="str">
        <f t="shared" si="2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16.5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-4.7300000000000004</v>
      </c>
      <c r="S23" s="2"/>
    </row>
    <row r="24" spans="4:24" s="3" customFormat="1" x14ac:dyDescent="0.25">
      <c r="D24" s="5" t="s">
        <v>41</v>
      </c>
      <c r="E24" s="4">
        <f>SUM(S:S)</f>
        <v>-9</v>
      </c>
      <c r="S24" s="2"/>
    </row>
    <row r="28" spans="4:24" x14ac:dyDescent="0.25">
      <c r="D28" s="3" t="s">
        <v>129</v>
      </c>
      <c r="E28" s="3">
        <f>COUNTIF(Q5:Q16,"&gt;0")</f>
        <v>3</v>
      </c>
    </row>
    <row r="29" spans="4:24" x14ac:dyDescent="0.25">
      <c r="D29" s="3" t="s">
        <v>130</v>
      </c>
      <c r="E29" s="3">
        <f>COUNTIF(S5:S16,"&gt;0")</f>
        <v>0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D1" zoomScale="97" workbookViewId="0">
      <selection activeCell="S6" sqref="S6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42578125" style="3" customWidth="1"/>
    <col min="4" max="4" width="30" style="3" customWidth="1"/>
    <col min="5" max="10" width="8.85546875" style="3" customWidth="1"/>
    <col min="11" max="11" width="2.42578125" style="3" customWidth="1"/>
    <col min="12" max="12" width="31.85546875" style="3" bestFit="1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83" t="s">
        <v>4</v>
      </c>
      <c r="D3" s="83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42777</v>
      </c>
      <c r="C6" s="7" t="s">
        <v>191</v>
      </c>
      <c r="D6" s="15" t="s">
        <v>15</v>
      </c>
      <c r="E6" s="11">
        <v>0.82</v>
      </c>
      <c r="F6" s="11">
        <v>0.12</v>
      </c>
      <c r="G6" s="11">
        <v>0.06</v>
      </c>
      <c r="H6" s="13">
        <f t="shared" ref="H6:J14" si="0">(1/E6)</f>
        <v>1.2195121951219512</v>
      </c>
      <c r="I6" s="13">
        <f t="shared" si="0"/>
        <v>8.3333333333333339</v>
      </c>
      <c r="J6" s="14">
        <f t="shared" si="0"/>
        <v>16.666666666666668</v>
      </c>
      <c r="L6" s="22">
        <v>7</v>
      </c>
      <c r="M6" s="23" t="s">
        <v>94</v>
      </c>
      <c r="N6" s="24">
        <v>1.31</v>
      </c>
      <c r="P6" s="39" t="s">
        <v>89</v>
      </c>
      <c r="Q6" s="43">
        <f>ROUND(((N6-1)*$E$21)*0.95,2)</f>
        <v>0.74</v>
      </c>
      <c r="R6" s="59" t="s">
        <v>15</v>
      </c>
      <c r="S6" s="46">
        <f t="shared" ref="S6" si="1">$E$22*(L6-1)*0.95</f>
        <v>5.6999999999999993</v>
      </c>
      <c r="X6" s="2">
        <f>IF(ISBLANK(P6),"",ROUND(IF(LEFT(M6,3)="Lay",(N6-1)*$E$21,$E$21),2))</f>
        <v>2.5</v>
      </c>
    </row>
    <row r="7" spans="2:24" x14ac:dyDescent="0.25">
      <c r="B7" s="9">
        <v>42777</v>
      </c>
      <c r="C7" s="7" t="s">
        <v>199</v>
      </c>
      <c r="D7" s="15" t="s">
        <v>44</v>
      </c>
      <c r="E7" s="11">
        <v>0.67</v>
      </c>
      <c r="F7" s="11">
        <v>0.21</v>
      </c>
      <c r="G7" s="11">
        <v>0.12</v>
      </c>
      <c r="H7" s="13">
        <f t="shared" si="0"/>
        <v>1.4925373134328357</v>
      </c>
      <c r="I7" s="13">
        <f t="shared" si="0"/>
        <v>4.7619047619047619</v>
      </c>
      <c r="J7" s="14">
        <f t="shared" si="0"/>
        <v>8.3333333333333339</v>
      </c>
      <c r="L7" s="22">
        <v>7</v>
      </c>
      <c r="M7" s="23" t="s">
        <v>80</v>
      </c>
      <c r="N7" s="24">
        <v>1.3</v>
      </c>
      <c r="P7" s="39" t="s">
        <v>34</v>
      </c>
      <c r="Q7" s="43">
        <f>ROUND(-(N7-1)*$E$21,2)</f>
        <v>-0.75</v>
      </c>
      <c r="R7" s="59" t="s">
        <v>15</v>
      </c>
      <c r="S7" s="46">
        <f t="shared" ref="S7:S14" si="2">-$E$22</f>
        <v>-1</v>
      </c>
      <c r="X7" s="2">
        <f t="shared" ref="X7:X15" si="3">IF(ISBLANK(P7),"",ROUND(IF(LEFT(M7,3)="Lay",(N7-1)*$E$21,$E$21),2))</f>
        <v>0.75</v>
      </c>
    </row>
    <row r="8" spans="2:24" x14ac:dyDescent="0.25">
      <c r="B8" s="9">
        <v>42777</v>
      </c>
      <c r="C8" s="7" t="s">
        <v>192</v>
      </c>
      <c r="D8" s="15" t="s">
        <v>21</v>
      </c>
      <c r="E8" s="11">
        <v>0.27</v>
      </c>
      <c r="F8" s="11">
        <v>0.32</v>
      </c>
      <c r="G8" s="11">
        <v>0.41</v>
      </c>
      <c r="H8" s="13">
        <f t="shared" si="0"/>
        <v>3.7037037037037033</v>
      </c>
      <c r="I8" s="13">
        <f t="shared" si="0"/>
        <v>3.125</v>
      </c>
      <c r="J8" s="14">
        <f t="shared" si="0"/>
        <v>2.4390243902439024</v>
      </c>
      <c r="L8" s="22">
        <v>6.4</v>
      </c>
      <c r="M8" s="23" t="s">
        <v>98</v>
      </c>
      <c r="N8" s="24">
        <v>2.2200000000000002</v>
      </c>
      <c r="P8" s="39" t="s">
        <v>89</v>
      </c>
      <c r="Q8" s="43">
        <f>ROUND($E$21*0.95,2)</f>
        <v>2.38</v>
      </c>
      <c r="R8" s="59" t="s">
        <v>51</v>
      </c>
      <c r="S8" s="46">
        <f t="shared" si="2"/>
        <v>-1</v>
      </c>
      <c r="X8" s="2">
        <f t="shared" si="3"/>
        <v>3.05</v>
      </c>
    </row>
    <row r="9" spans="2:24" x14ac:dyDescent="0.25">
      <c r="B9" s="9">
        <v>42777</v>
      </c>
      <c r="C9" s="7" t="s">
        <v>193</v>
      </c>
      <c r="D9" s="10" t="s">
        <v>2</v>
      </c>
      <c r="E9" s="11">
        <v>0.51</v>
      </c>
      <c r="F9" s="11">
        <v>0.25</v>
      </c>
      <c r="G9" s="11">
        <v>0.24</v>
      </c>
      <c r="H9" s="13">
        <f t="shared" si="0"/>
        <v>1.9607843137254901</v>
      </c>
      <c r="I9" s="13">
        <f t="shared" si="0"/>
        <v>4</v>
      </c>
      <c r="J9" s="14">
        <f t="shared" si="0"/>
        <v>4.166666666666667</v>
      </c>
      <c r="L9" s="22">
        <v>6.4</v>
      </c>
      <c r="M9" s="23" t="s">
        <v>101</v>
      </c>
      <c r="N9" s="24">
        <v>2.2000000000000002</v>
      </c>
      <c r="P9" s="39" t="s">
        <v>89</v>
      </c>
      <c r="Q9" s="43">
        <f>ROUND(((N9-1)*$E$21)*0.95,2)</f>
        <v>2.85</v>
      </c>
      <c r="R9" s="58" t="s">
        <v>44</v>
      </c>
      <c r="S9" s="46">
        <f t="shared" si="2"/>
        <v>-1</v>
      </c>
      <c r="X9" s="2">
        <f t="shared" si="3"/>
        <v>2.5</v>
      </c>
    </row>
    <row r="10" spans="2:24" x14ac:dyDescent="0.25">
      <c r="B10" s="9">
        <v>42777</v>
      </c>
      <c r="C10" s="7" t="s">
        <v>194</v>
      </c>
      <c r="D10" s="15" t="s">
        <v>2</v>
      </c>
      <c r="E10" s="11">
        <v>0.32</v>
      </c>
      <c r="F10" s="11">
        <v>0.28999999999999998</v>
      </c>
      <c r="G10" s="11">
        <v>0.39</v>
      </c>
      <c r="H10" s="13">
        <f t="shared" si="0"/>
        <v>3.125</v>
      </c>
      <c r="I10" s="13">
        <f t="shared" si="0"/>
        <v>3.4482758620689657</v>
      </c>
      <c r="J10" s="14">
        <f t="shared" si="0"/>
        <v>2.5641025641025639</v>
      </c>
      <c r="L10" s="22">
        <v>7</v>
      </c>
      <c r="M10" s="23" t="s">
        <v>26</v>
      </c>
      <c r="N10" s="24">
        <v>4.2</v>
      </c>
      <c r="P10" s="39" t="s">
        <v>34</v>
      </c>
      <c r="Q10" s="43">
        <f>-$E$21</f>
        <v>-2.5</v>
      </c>
      <c r="R10" s="58" t="s">
        <v>178</v>
      </c>
      <c r="S10" s="46">
        <f t="shared" si="2"/>
        <v>-1</v>
      </c>
      <c r="X10" s="2">
        <f t="shared" si="3"/>
        <v>2.5</v>
      </c>
    </row>
    <row r="11" spans="2:24" x14ac:dyDescent="0.25">
      <c r="B11" s="9">
        <v>42777</v>
      </c>
      <c r="C11" s="7" t="s">
        <v>195</v>
      </c>
      <c r="D11" s="15" t="s">
        <v>2</v>
      </c>
      <c r="E11" s="11">
        <v>0.47</v>
      </c>
      <c r="F11" s="11">
        <v>0.26</v>
      </c>
      <c r="G11" s="11">
        <v>0.27</v>
      </c>
      <c r="H11" s="13">
        <f t="shared" si="0"/>
        <v>2.1276595744680851</v>
      </c>
      <c r="I11" s="13">
        <f t="shared" si="0"/>
        <v>3.8461538461538458</v>
      </c>
      <c r="J11" s="14">
        <f t="shared" si="0"/>
        <v>3.7037037037037033</v>
      </c>
      <c r="L11" s="22">
        <v>6.5</v>
      </c>
      <c r="M11" s="23" t="s">
        <v>35</v>
      </c>
      <c r="N11" s="24"/>
      <c r="P11" s="39"/>
      <c r="Q11" s="43"/>
      <c r="R11" s="58" t="s">
        <v>124</v>
      </c>
      <c r="S11" s="46">
        <f t="shared" si="2"/>
        <v>-1</v>
      </c>
      <c r="X11" s="2" t="str">
        <f t="shared" si="3"/>
        <v/>
      </c>
    </row>
    <row r="12" spans="2:24" x14ac:dyDescent="0.25">
      <c r="B12" s="9">
        <v>42777</v>
      </c>
      <c r="C12" s="7" t="s">
        <v>196</v>
      </c>
      <c r="D12" s="15" t="s">
        <v>2</v>
      </c>
      <c r="E12" s="11">
        <v>0.36</v>
      </c>
      <c r="F12" s="11">
        <v>0.25</v>
      </c>
      <c r="G12" s="11">
        <v>0.39</v>
      </c>
      <c r="H12" s="13">
        <f t="shared" si="0"/>
        <v>2.7777777777777777</v>
      </c>
      <c r="I12" s="13">
        <f t="shared" si="0"/>
        <v>4</v>
      </c>
      <c r="J12" s="14">
        <f t="shared" si="0"/>
        <v>2.5641025641025639</v>
      </c>
      <c r="L12" s="22">
        <v>6.5</v>
      </c>
      <c r="M12" s="23" t="s">
        <v>200</v>
      </c>
      <c r="N12" s="24">
        <v>3.5</v>
      </c>
      <c r="P12" s="39" t="s">
        <v>34</v>
      </c>
      <c r="Q12" s="43">
        <f>-$E$21</f>
        <v>-2.5</v>
      </c>
      <c r="R12" s="58" t="s">
        <v>15</v>
      </c>
      <c r="S12" s="46">
        <f t="shared" si="2"/>
        <v>-1</v>
      </c>
      <c r="X12" s="2">
        <f t="shared" si="3"/>
        <v>2.5</v>
      </c>
    </row>
    <row r="13" spans="2:24" x14ac:dyDescent="0.25">
      <c r="B13" s="9">
        <v>42778</v>
      </c>
      <c r="C13" s="7" t="s">
        <v>197</v>
      </c>
      <c r="D13" s="15" t="s">
        <v>21</v>
      </c>
      <c r="E13" s="11">
        <v>0.18</v>
      </c>
      <c r="F13" s="11">
        <v>0.24</v>
      </c>
      <c r="G13" s="11">
        <v>0.57999999999999996</v>
      </c>
      <c r="H13" s="13">
        <f t="shared" si="0"/>
        <v>5.5555555555555554</v>
      </c>
      <c r="I13" s="13">
        <f t="shared" si="0"/>
        <v>4.166666666666667</v>
      </c>
      <c r="J13" s="14">
        <f t="shared" si="0"/>
        <v>1.7241379310344829</v>
      </c>
      <c r="L13" s="22">
        <v>6</v>
      </c>
      <c r="M13" s="23" t="s">
        <v>13</v>
      </c>
      <c r="N13" s="24">
        <v>1.46</v>
      </c>
      <c r="P13" s="43" t="s">
        <v>89</v>
      </c>
      <c r="Q13" s="43">
        <f>ROUND($E$21*0.95,2)</f>
        <v>2.38</v>
      </c>
      <c r="R13" s="58" t="s">
        <v>2</v>
      </c>
      <c r="S13" s="46">
        <f t="shared" si="2"/>
        <v>-1</v>
      </c>
      <c r="X13" s="2">
        <f t="shared" si="3"/>
        <v>1.1499999999999999</v>
      </c>
    </row>
    <row r="14" spans="2:24" x14ac:dyDescent="0.25">
      <c r="B14" s="9">
        <v>42778</v>
      </c>
      <c r="C14" s="7" t="s">
        <v>198</v>
      </c>
      <c r="D14" s="15" t="s">
        <v>2</v>
      </c>
      <c r="E14" s="11">
        <v>0.36</v>
      </c>
      <c r="F14" s="11">
        <v>0.26</v>
      </c>
      <c r="G14" s="11">
        <v>0.38</v>
      </c>
      <c r="H14" s="13">
        <f t="shared" si="0"/>
        <v>2.7777777777777777</v>
      </c>
      <c r="I14" s="13">
        <f t="shared" si="0"/>
        <v>3.8461538461538458</v>
      </c>
      <c r="J14" s="14">
        <f t="shared" si="0"/>
        <v>2.6315789473684212</v>
      </c>
      <c r="L14" s="22">
        <v>6.5</v>
      </c>
      <c r="M14" s="23" t="s">
        <v>63</v>
      </c>
      <c r="N14" s="24">
        <v>3.25</v>
      </c>
      <c r="P14" s="39" t="s">
        <v>34</v>
      </c>
      <c r="Q14" s="43">
        <f>-$E$21</f>
        <v>-2.5</v>
      </c>
      <c r="R14" s="58" t="s">
        <v>15</v>
      </c>
      <c r="S14" s="46">
        <f t="shared" si="2"/>
        <v>-1</v>
      </c>
      <c r="X14" s="2">
        <f t="shared" si="3"/>
        <v>2.5</v>
      </c>
    </row>
    <row r="15" spans="2:24" x14ac:dyDescent="0.25">
      <c r="B15" s="9"/>
      <c r="C15" s="7"/>
      <c r="D15" s="15"/>
      <c r="E15" s="11"/>
      <c r="F15" s="11"/>
      <c r="G15" s="11"/>
      <c r="H15" s="13"/>
      <c r="I15" s="13"/>
      <c r="J15" s="14"/>
      <c r="L15" s="22"/>
      <c r="M15" s="23"/>
      <c r="N15" s="24"/>
      <c r="P15" s="39"/>
      <c r="Q15" s="43"/>
      <c r="R15" s="58"/>
      <c r="S15" s="46"/>
      <c r="X15" s="2" t="str">
        <f t="shared" si="3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17.450000000000003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0.10000000000000053</v>
      </c>
      <c r="S23" s="2"/>
    </row>
    <row r="24" spans="4:24" s="3" customFormat="1" x14ac:dyDescent="0.25">
      <c r="D24" s="5" t="s">
        <v>41</v>
      </c>
      <c r="E24" s="4">
        <f>SUM(S:S)</f>
        <v>-2.3000000000000007</v>
      </c>
      <c r="S24" s="2"/>
    </row>
    <row r="28" spans="4:24" x14ac:dyDescent="0.25">
      <c r="D28" s="3" t="s">
        <v>129</v>
      </c>
      <c r="E28" s="3">
        <f>COUNTIF(Q5:Q16,"&gt;0")</f>
        <v>4</v>
      </c>
    </row>
    <row r="29" spans="4:24" x14ac:dyDescent="0.25">
      <c r="D29" s="3" t="s">
        <v>130</v>
      </c>
      <c r="E29" s="3">
        <f>COUNTIF(S5:S16,"&gt;0")</f>
        <v>1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ignoredErrors>
    <ignoredError sqref="Q1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G1" workbookViewId="0">
      <selection activeCell="Q13" sqref="Q13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42578125" style="3" customWidth="1"/>
    <col min="4" max="4" width="30" style="3" customWidth="1"/>
    <col min="5" max="10" width="8.85546875" style="3" customWidth="1"/>
    <col min="11" max="11" width="2.42578125" style="3" customWidth="1"/>
    <col min="12" max="12" width="31.85546875" style="3" bestFit="1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82" t="s">
        <v>4</v>
      </c>
      <c r="D3" s="82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42770</v>
      </c>
      <c r="C6" s="7" t="s">
        <v>179</v>
      </c>
      <c r="D6" s="15" t="s">
        <v>2</v>
      </c>
      <c r="E6" s="11">
        <v>0.48</v>
      </c>
      <c r="F6" s="11">
        <v>0.26</v>
      </c>
      <c r="G6" s="11">
        <v>0.26</v>
      </c>
      <c r="H6" s="13">
        <f t="shared" ref="H6:J15" si="0">(1/E6)</f>
        <v>2.0833333333333335</v>
      </c>
      <c r="I6" s="13">
        <f t="shared" si="0"/>
        <v>3.8461538461538458</v>
      </c>
      <c r="J6" s="14">
        <f t="shared" si="0"/>
        <v>3.8461538461538458</v>
      </c>
      <c r="L6" s="22">
        <v>7.4</v>
      </c>
      <c r="M6" s="23" t="s">
        <v>94</v>
      </c>
      <c r="N6" s="24">
        <v>3.85</v>
      </c>
      <c r="P6" s="39" t="s">
        <v>34</v>
      </c>
      <c r="Q6" s="43">
        <f>-$E$21</f>
        <v>-2.5</v>
      </c>
      <c r="R6" s="59" t="s">
        <v>48</v>
      </c>
      <c r="S6" s="46">
        <f t="shared" ref="S6:S15" si="1">-$E$22</f>
        <v>-1</v>
      </c>
      <c r="X6" s="2">
        <f>IF(ISBLANK(P6),"",ROUND(IF(LEFT(M6,3)="Lay",(N6-1)*$E$21,$E$21),2))</f>
        <v>2.5</v>
      </c>
    </row>
    <row r="7" spans="2:24" x14ac:dyDescent="0.25">
      <c r="B7" s="9">
        <v>42770</v>
      </c>
      <c r="C7" s="7" t="s">
        <v>180</v>
      </c>
      <c r="D7" s="15" t="s">
        <v>2</v>
      </c>
      <c r="E7" s="11">
        <v>0.51</v>
      </c>
      <c r="F7" s="11">
        <v>0.26</v>
      </c>
      <c r="G7" s="11">
        <v>0.23</v>
      </c>
      <c r="H7" s="13">
        <f t="shared" si="0"/>
        <v>1.9607843137254901</v>
      </c>
      <c r="I7" s="13">
        <f t="shared" si="0"/>
        <v>3.8461538461538458</v>
      </c>
      <c r="J7" s="14">
        <f t="shared" si="0"/>
        <v>4.3478260869565215</v>
      </c>
      <c r="L7" s="22">
        <v>8.4</v>
      </c>
      <c r="M7" s="23" t="s">
        <v>189</v>
      </c>
      <c r="N7" s="24">
        <v>1.74</v>
      </c>
      <c r="P7" s="39" t="s">
        <v>89</v>
      </c>
      <c r="Q7" s="43">
        <f>ROUND($E$21*0.95,2)</f>
        <v>2.38</v>
      </c>
      <c r="R7" s="59" t="s">
        <v>178</v>
      </c>
      <c r="S7" s="46">
        <f t="shared" si="1"/>
        <v>-1</v>
      </c>
      <c r="X7" s="2">
        <f t="shared" ref="X7:X15" si="2">IF(ISBLANK(P7),"",ROUND(IF(LEFT(M7,3)="Lay",(N7-1)*$E$21,$E$21),2))</f>
        <v>1.85</v>
      </c>
    </row>
    <row r="8" spans="2:24" x14ac:dyDescent="0.25">
      <c r="B8" s="9">
        <v>42770</v>
      </c>
      <c r="C8" s="7" t="s">
        <v>181</v>
      </c>
      <c r="D8" s="15" t="s">
        <v>19</v>
      </c>
      <c r="E8" s="11">
        <v>0.64</v>
      </c>
      <c r="F8" s="11">
        <v>0.2</v>
      </c>
      <c r="G8" s="11">
        <v>0.16</v>
      </c>
      <c r="H8" s="13">
        <f t="shared" si="0"/>
        <v>1.5625</v>
      </c>
      <c r="I8" s="13">
        <f t="shared" si="0"/>
        <v>5</v>
      </c>
      <c r="J8" s="14">
        <f t="shared" si="0"/>
        <v>6.25</v>
      </c>
      <c r="L8" s="22">
        <v>9.6</v>
      </c>
      <c r="M8" s="23" t="s">
        <v>190</v>
      </c>
      <c r="N8" s="24">
        <v>1.73</v>
      </c>
      <c r="P8" s="39" t="s">
        <v>89</v>
      </c>
      <c r="Q8" s="43">
        <f>ROUND(((N8-1)*$E$21)*0.95,2)</f>
        <v>1.73</v>
      </c>
      <c r="R8" s="59" t="s">
        <v>201</v>
      </c>
      <c r="S8" s="46">
        <f t="shared" si="1"/>
        <v>-1</v>
      </c>
      <c r="X8" s="2">
        <f t="shared" si="2"/>
        <v>2.5</v>
      </c>
    </row>
    <row r="9" spans="2:24" x14ac:dyDescent="0.25">
      <c r="B9" s="9">
        <v>42770</v>
      </c>
      <c r="C9" s="7" t="s">
        <v>182</v>
      </c>
      <c r="D9" s="10" t="s">
        <v>90</v>
      </c>
      <c r="E9" s="11">
        <v>0.13</v>
      </c>
      <c r="F9" s="11">
        <v>0.18</v>
      </c>
      <c r="G9" s="11">
        <v>0.68</v>
      </c>
      <c r="H9" s="13">
        <f t="shared" si="0"/>
        <v>7.6923076923076916</v>
      </c>
      <c r="I9" s="13">
        <f t="shared" si="0"/>
        <v>5.5555555555555554</v>
      </c>
      <c r="J9" s="14">
        <f t="shared" si="0"/>
        <v>1.4705882352941175</v>
      </c>
      <c r="L9" s="22">
        <v>9.4</v>
      </c>
      <c r="M9" s="23" t="s">
        <v>62</v>
      </c>
      <c r="N9" s="24">
        <v>4.7</v>
      </c>
      <c r="P9" s="39" t="s">
        <v>89</v>
      </c>
      <c r="Q9" s="43">
        <f>ROUND($E$21*0.95,2)</f>
        <v>2.38</v>
      </c>
      <c r="R9" s="58" t="s">
        <v>15</v>
      </c>
      <c r="S9" s="46">
        <f t="shared" si="1"/>
        <v>-1</v>
      </c>
      <c r="X9" s="2">
        <f t="shared" si="2"/>
        <v>9.25</v>
      </c>
    </row>
    <row r="10" spans="2:24" x14ac:dyDescent="0.25">
      <c r="B10" s="9">
        <v>42770</v>
      </c>
      <c r="C10" s="7" t="s">
        <v>183</v>
      </c>
      <c r="D10" s="15" t="s">
        <v>2</v>
      </c>
      <c r="E10" s="11">
        <v>0.51</v>
      </c>
      <c r="F10" s="11">
        <v>0.26</v>
      </c>
      <c r="G10" s="11">
        <v>0.23</v>
      </c>
      <c r="H10" s="13">
        <f t="shared" si="0"/>
        <v>1.9607843137254901</v>
      </c>
      <c r="I10" s="13">
        <f t="shared" si="0"/>
        <v>3.8461538461538458</v>
      </c>
      <c r="J10" s="14">
        <f t="shared" si="0"/>
        <v>4.3478260869565215</v>
      </c>
      <c r="L10" s="22">
        <v>8.4</v>
      </c>
      <c r="M10" s="23" t="s">
        <v>166</v>
      </c>
      <c r="N10" s="24"/>
      <c r="P10" s="39"/>
      <c r="Q10" s="43"/>
      <c r="R10" s="58" t="s">
        <v>92</v>
      </c>
      <c r="S10" s="46">
        <f t="shared" si="1"/>
        <v>-1</v>
      </c>
      <c r="X10" s="2" t="str">
        <f t="shared" si="2"/>
        <v/>
      </c>
    </row>
    <row r="11" spans="2:24" x14ac:dyDescent="0.25">
      <c r="B11" s="9">
        <v>42770</v>
      </c>
      <c r="C11" s="7" t="s">
        <v>184</v>
      </c>
      <c r="D11" s="15" t="s">
        <v>2</v>
      </c>
      <c r="E11" s="11">
        <v>0.41</v>
      </c>
      <c r="F11" s="11">
        <v>0.28999999999999998</v>
      </c>
      <c r="G11" s="11">
        <v>0.3</v>
      </c>
      <c r="H11" s="13">
        <f t="shared" si="0"/>
        <v>2.4390243902439024</v>
      </c>
      <c r="I11" s="13">
        <f t="shared" si="0"/>
        <v>3.4482758620689657</v>
      </c>
      <c r="J11" s="14">
        <f t="shared" si="0"/>
        <v>3.3333333333333335</v>
      </c>
      <c r="L11" s="22">
        <v>7.2</v>
      </c>
      <c r="M11" s="23" t="s">
        <v>166</v>
      </c>
      <c r="N11" s="24"/>
      <c r="P11" s="39"/>
      <c r="Q11" s="43"/>
      <c r="R11" s="58" t="s">
        <v>19</v>
      </c>
      <c r="S11" s="46">
        <f t="shared" si="1"/>
        <v>-1</v>
      </c>
      <c r="X11" s="2" t="str">
        <f t="shared" si="2"/>
        <v/>
      </c>
    </row>
    <row r="12" spans="2:24" x14ac:dyDescent="0.25">
      <c r="B12" s="9">
        <v>42770</v>
      </c>
      <c r="C12" s="7" t="s">
        <v>185</v>
      </c>
      <c r="D12" s="15" t="s">
        <v>44</v>
      </c>
      <c r="E12" s="11">
        <v>0.47</v>
      </c>
      <c r="F12" s="11">
        <v>0.28999999999999998</v>
      </c>
      <c r="G12" s="11">
        <v>0.25</v>
      </c>
      <c r="H12" s="13">
        <f t="shared" si="0"/>
        <v>2.1276595744680851</v>
      </c>
      <c r="I12" s="13">
        <f t="shared" si="0"/>
        <v>3.4482758620689657</v>
      </c>
      <c r="J12" s="14">
        <f t="shared" si="0"/>
        <v>4</v>
      </c>
      <c r="L12" s="22">
        <v>8.4</v>
      </c>
      <c r="M12" s="23" t="s">
        <v>121</v>
      </c>
      <c r="N12" s="24">
        <v>2.4</v>
      </c>
      <c r="P12" s="39" t="s">
        <v>89</v>
      </c>
      <c r="Q12" s="43">
        <f>ROUND(((N12-1)*$E$21)*0.95,2)</f>
        <v>3.33</v>
      </c>
      <c r="R12" s="58" t="s">
        <v>44</v>
      </c>
      <c r="S12" s="46">
        <f t="shared" ref="S12:S13" si="3">$E$22*(L12-1)*0.95</f>
        <v>7.03</v>
      </c>
      <c r="X12" s="2">
        <f t="shared" si="2"/>
        <v>2.5</v>
      </c>
    </row>
    <row r="13" spans="2:24" x14ac:dyDescent="0.25">
      <c r="B13" s="9">
        <v>42770</v>
      </c>
      <c r="C13" s="7" t="s">
        <v>186</v>
      </c>
      <c r="D13" s="15" t="s">
        <v>44</v>
      </c>
      <c r="E13" s="11">
        <v>0.71</v>
      </c>
      <c r="F13" s="11">
        <v>0.2</v>
      </c>
      <c r="G13" s="11">
        <v>0.09</v>
      </c>
      <c r="H13" s="13">
        <f t="shared" si="0"/>
        <v>1.4084507042253522</v>
      </c>
      <c r="I13" s="13">
        <f t="shared" si="0"/>
        <v>5</v>
      </c>
      <c r="J13" s="14">
        <f t="shared" si="0"/>
        <v>11.111111111111111</v>
      </c>
      <c r="L13" s="22">
        <v>7.6</v>
      </c>
      <c r="M13" s="23" t="s">
        <v>171</v>
      </c>
      <c r="N13" s="24">
        <v>1.3</v>
      </c>
      <c r="P13" s="43" t="s">
        <v>34</v>
      </c>
      <c r="Q13" s="43">
        <f>ROUND(-(N13-1)*$E$21,2)</f>
        <v>-0.75</v>
      </c>
      <c r="R13" s="58" t="s">
        <v>44</v>
      </c>
      <c r="S13" s="46">
        <f t="shared" si="3"/>
        <v>6.27</v>
      </c>
      <c r="X13" s="2">
        <f t="shared" si="2"/>
        <v>0.75</v>
      </c>
    </row>
    <row r="14" spans="2:24" x14ac:dyDescent="0.25">
      <c r="B14" s="9">
        <v>42771</v>
      </c>
      <c r="C14" s="7" t="s">
        <v>187</v>
      </c>
      <c r="D14" s="15" t="s">
        <v>15</v>
      </c>
      <c r="E14" s="11">
        <v>0.8</v>
      </c>
      <c r="F14" s="11">
        <v>0.13</v>
      </c>
      <c r="G14" s="11">
        <v>7.0000000000000007E-2</v>
      </c>
      <c r="H14" s="13">
        <f t="shared" si="0"/>
        <v>1.25</v>
      </c>
      <c r="I14" s="13">
        <f t="shared" si="0"/>
        <v>7.6923076923076916</v>
      </c>
      <c r="J14" s="14">
        <f t="shared" si="0"/>
        <v>14.285714285714285</v>
      </c>
      <c r="L14" s="22">
        <v>8.4</v>
      </c>
      <c r="M14" s="23" t="s">
        <v>166</v>
      </c>
      <c r="N14" s="24"/>
      <c r="P14" s="39"/>
      <c r="Q14" s="43"/>
      <c r="R14" s="58" t="s">
        <v>19</v>
      </c>
      <c r="S14" s="46">
        <f t="shared" si="1"/>
        <v>-1</v>
      </c>
      <c r="X14" s="2" t="str">
        <f t="shared" si="2"/>
        <v/>
      </c>
    </row>
    <row r="15" spans="2:24" x14ac:dyDescent="0.25">
      <c r="B15" s="9">
        <v>42771</v>
      </c>
      <c r="C15" s="7" t="s">
        <v>188</v>
      </c>
      <c r="D15" s="15" t="s">
        <v>2</v>
      </c>
      <c r="E15" s="11">
        <v>0.32</v>
      </c>
      <c r="F15" s="11">
        <v>0.28999999999999998</v>
      </c>
      <c r="G15" s="11">
        <v>0.39</v>
      </c>
      <c r="H15" s="13">
        <f t="shared" si="0"/>
        <v>3.125</v>
      </c>
      <c r="I15" s="13">
        <f t="shared" si="0"/>
        <v>3.4482758620689657</v>
      </c>
      <c r="J15" s="14">
        <f t="shared" si="0"/>
        <v>2.5641025641025639</v>
      </c>
      <c r="L15" s="22">
        <v>8.4</v>
      </c>
      <c r="M15" s="23" t="s">
        <v>63</v>
      </c>
      <c r="N15" s="24">
        <v>6</v>
      </c>
      <c r="P15" s="39" t="s">
        <v>34</v>
      </c>
      <c r="Q15" s="43">
        <f>-$E$21</f>
        <v>-2.5</v>
      </c>
      <c r="R15" s="58" t="s">
        <v>202</v>
      </c>
      <c r="S15" s="46">
        <f t="shared" si="1"/>
        <v>-1</v>
      </c>
      <c r="X15" s="2">
        <f t="shared" si="2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21.85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4.07</v>
      </c>
      <c r="S23" s="2"/>
    </row>
    <row r="24" spans="4:24" s="3" customFormat="1" x14ac:dyDescent="0.25">
      <c r="D24" s="4" t="s">
        <v>41</v>
      </c>
      <c r="E24" s="4">
        <f>SUM(S:S)</f>
        <v>5.3</v>
      </c>
      <c r="S24" s="2"/>
    </row>
    <row r="28" spans="4:24" x14ac:dyDescent="0.25">
      <c r="D28" s="3" t="s">
        <v>129</v>
      </c>
      <c r="E28" s="3">
        <f>COUNTIF(Q5:Q16,"&gt;0")</f>
        <v>4</v>
      </c>
    </row>
    <row r="29" spans="4:24" x14ac:dyDescent="0.25">
      <c r="D29" s="3" t="s">
        <v>130</v>
      </c>
      <c r="E29" s="3">
        <f>COUNTIF(S5:S16,"&gt;0")</f>
        <v>2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ignoredErrors>
    <ignoredError sqref="Q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F1" workbookViewId="0">
      <selection activeCell="Q15" sqref="Q15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42578125" style="3" customWidth="1"/>
    <col min="4" max="4" width="30" style="3" customWidth="1"/>
    <col min="5" max="10" width="8.85546875" style="3"/>
    <col min="11" max="11" width="2.42578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81" t="s">
        <v>4</v>
      </c>
      <c r="D3" s="81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42766</v>
      </c>
      <c r="C6" s="7" t="s">
        <v>165</v>
      </c>
      <c r="D6" s="15" t="s">
        <v>15</v>
      </c>
      <c r="E6" s="11">
        <v>0.8</v>
      </c>
      <c r="F6" s="11">
        <v>0.14000000000000001</v>
      </c>
      <c r="G6" s="11">
        <v>0.06</v>
      </c>
      <c r="H6" s="13">
        <f t="shared" ref="H6:J15" si="0">(1/E6)</f>
        <v>1.25</v>
      </c>
      <c r="I6" s="13">
        <f t="shared" si="0"/>
        <v>7.1428571428571423</v>
      </c>
      <c r="J6" s="14">
        <f t="shared" si="0"/>
        <v>16.666666666666668</v>
      </c>
      <c r="L6" s="22">
        <v>7.8</v>
      </c>
      <c r="M6" s="23" t="s">
        <v>166</v>
      </c>
      <c r="N6" s="24"/>
      <c r="P6" s="39"/>
      <c r="Q6" s="43"/>
      <c r="R6" s="59" t="s">
        <v>90</v>
      </c>
      <c r="S6" s="46">
        <f t="shared" ref="S6:S14" si="1">-$E$22</f>
        <v>-1</v>
      </c>
      <c r="X6" s="2" t="str">
        <f>IF(ISBLANK(P6),"",ROUND(IF(LEFT(M6,3)="Lay",(N6-1)*$E$21,$E$21),2))</f>
        <v/>
      </c>
    </row>
    <row r="7" spans="2:24" x14ac:dyDescent="0.25">
      <c r="B7" s="9">
        <v>42766</v>
      </c>
      <c r="C7" s="7" t="s">
        <v>167</v>
      </c>
      <c r="D7" s="15" t="s">
        <v>2</v>
      </c>
      <c r="E7" s="11">
        <v>0.24</v>
      </c>
      <c r="F7" s="11">
        <v>0.5</v>
      </c>
      <c r="G7" s="11">
        <v>0.26</v>
      </c>
      <c r="H7" s="13">
        <f t="shared" si="0"/>
        <v>4.166666666666667</v>
      </c>
      <c r="I7" s="13">
        <f t="shared" si="0"/>
        <v>2</v>
      </c>
      <c r="J7" s="14">
        <f t="shared" si="0"/>
        <v>3.8461538461538458</v>
      </c>
      <c r="L7" s="22">
        <v>7.2</v>
      </c>
      <c r="M7" s="23" t="s">
        <v>75</v>
      </c>
      <c r="N7" s="24">
        <v>2.1800000000000002</v>
      </c>
      <c r="P7" s="39" t="s">
        <v>89</v>
      </c>
      <c r="Q7" s="43">
        <f>ROUND($E$21*0.95,2)</f>
        <v>2.38</v>
      </c>
      <c r="R7" s="59" t="s">
        <v>77</v>
      </c>
      <c r="S7" s="46">
        <f t="shared" si="1"/>
        <v>-1</v>
      </c>
      <c r="X7" s="2">
        <f t="shared" ref="X7:X15" si="2">IF(ISBLANK(P7),"",ROUND(IF(LEFT(M7,3)="Lay",(N7-1)*$E$21,$E$21),2))</f>
        <v>2.95</v>
      </c>
    </row>
    <row r="8" spans="2:24" x14ac:dyDescent="0.25">
      <c r="B8" s="9">
        <v>42766</v>
      </c>
      <c r="C8" s="7" t="s">
        <v>168</v>
      </c>
      <c r="D8" s="15" t="s">
        <v>2</v>
      </c>
      <c r="E8" s="11">
        <v>0.36</v>
      </c>
      <c r="F8" s="11">
        <v>0.28000000000000003</v>
      </c>
      <c r="G8" s="11">
        <v>0.36</v>
      </c>
      <c r="H8" s="13">
        <f t="shared" si="0"/>
        <v>2.7777777777777777</v>
      </c>
      <c r="I8" s="13">
        <f t="shared" si="0"/>
        <v>3.5714285714285712</v>
      </c>
      <c r="J8" s="14">
        <f t="shared" si="0"/>
        <v>2.7777777777777777</v>
      </c>
      <c r="L8" s="22">
        <v>7</v>
      </c>
      <c r="M8" s="23" t="s">
        <v>76</v>
      </c>
      <c r="N8" s="24">
        <v>3</v>
      </c>
      <c r="P8" s="39" t="s">
        <v>89</v>
      </c>
      <c r="Q8" s="43">
        <f>ROUND(((N8-1)*$E$21)*0.95,2)</f>
        <v>4.75</v>
      </c>
      <c r="R8" s="59" t="s">
        <v>44</v>
      </c>
      <c r="S8" s="46">
        <f t="shared" si="1"/>
        <v>-1</v>
      </c>
      <c r="X8" s="2">
        <f t="shared" si="2"/>
        <v>2.5</v>
      </c>
    </row>
    <row r="9" spans="2:24" x14ac:dyDescent="0.25">
      <c r="B9" s="9">
        <v>42766</v>
      </c>
      <c r="C9" s="7" t="s">
        <v>169</v>
      </c>
      <c r="D9" s="10" t="s">
        <v>51</v>
      </c>
      <c r="E9" s="11">
        <v>0.34</v>
      </c>
      <c r="F9" s="11">
        <v>0.36</v>
      </c>
      <c r="G9" s="11">
        <v>0.3</v>
      </c>
      <c r="H9" s="13">
        <f t="shared" si="0"/>
        <v>2.9411764705882351</v>
      </c>
      <c r="I9" s="13">
        <f t="shared" si="0"/>
        <v>2.7777777777777777</v>
      </c>
      <c r="J9" s="14">
        <f t="shared" si="0"/>
        <v>3.3333333333333335</v>
      </c>
      <c r="L9" s="22">
        <v>7.6</v>
      </c>
      <c r="M9" s="23" t="s">
        <v>61</v>
      </c>
      <c r="N9" s="24">
        <v>3.05</v>
      </c>
      <c r="P9" s="39" t="s">
        <v>89</v>
      </c>
      <c r="Q9" s="43">
        <f>ROUND(((N9-1)*$E$21)*0.95,2)</f>
        <v>4.87</v>
      </c>
      <c r="R9" s="58" t="s">
        <v>2</v>
      </c>
      <c r="S9" s="46">
        <f t="shared" si="1"/>
        <v>-1</v>
      </c>
      <c r="X9" s="2">
        <f t="shared" si="2"/>
        <v>2.5</v>
      </c>
    </row>
    <row r="10" spans="2:24" x14ac:dyDescent="0.25">
      <c r="B10" s="9">
        <v>42766</v>
      </c>
      <c r="C10" s="7" t="s">
        <v>170</v>
      </c>
      <c r="D10" s="10" t="s">
        <v>21</v>
      </c>
      <c r="E10" s="11">
        <v>0.14000000000000001</v>
      </c>
      <c r="F10" s="11">
        <v>0.21</v>
      </c>
      <c r="G10" s="11">
        <v>0.65</v>
      </c>
      <c r="H10" s="13">
        <f t="shared" si="0"/>
        <v>7.1428571428571423</v>
      </c>
      <c r="I10" s="13">
        <f t="shared" si="0"/>
        <v>4.7619047619047619</v>
      </c>
      <c r="J10" s="14">
        <f t="shared" si="0"/>
        <v>1.5384615384615383</v>
      </c>
      <c r="L10" s="22">
        <v>11.5</v>
      </c>
      <c r="M10" s="23" t="s">
        <v>171</v>
      </c>
      <c r="N10" s="24">
        <v>1.38</v>
      </c>
      <c r="P10" s="39" t="s">
        <v>89</v>
      </c>
      <c r="Q10" s="43">
        <f>ROUND($E$21*0.95,2)</f>
        <v>2.38</v>
      </c>
      <c r="R10" s="58" t="s">
        <v>51</v>
      </c>
      <c r="S10" s="46">
        <f t="shared" si="1"/>
        <v>-1</v>
      </c>
      <c r="X10" s="2">
        <f t="shared" si="2"/>
        <v>0.95</v>
      </c>
    </row>
    <row r="11" spans="2:24" x14ac:dyDescent="0.25">
      <c r="B11" s="9">
        <v>42766</v>
      </c>
      <c r="C11" s="7" t="s">
        <v>172</v>
      </c>
      <c r="D11" s="10" t="s">
        <v>2</v>
      </c>
      <c r="E11" s="11">
        <v>0.28999999999999998</v>
      </c>
      <c r="F11" s="11">
        <v>0.27</v>
      </c>
      <c r="G11" s="11">
        <v>0.44</v>
      </c>
      <c r="H11" s="13">
        <f t="shared" si="0"/>
        <v>3.4482758620689657</v>
      </c>
      <c r="I11" s="13">
        <f t="shared" si="0"/>
        <v>3.7037037037037033</v>
      </c>
      <c r="J11" s="14">
        <f t="shared" si="0"/>
        <v>2.2727272727272729</v>
      </c>
      <c r="L11" s="22">
        <v>7.4</v>
      </c>
      <c r="M11" s="23" t="s">
        <v>79</v>
      </c>
      <c r="N11" s="24">
        <v>2.42</v>
      </c>
      <c r="P11" s="39" t="s">
        <v>34</v>
      </c>
      <c r="Q11" s="43">
        <f>-$E$21</f>
        <v>-2.5</v>
      </c>
      <c r="R11" s="58" t="s">
        <v>19</v>
      </c>
      <c r="S11" s="46">
        <f t="shared" si="1"/>
        <v>-1</v>
      </c>
      <c r="X11" s="2">
        <f t="shared" si="2"/>
        <v>2.5</v>
      </c>
    </row>
    <row r="12" spans="2:24" x14ac:dyDescent="0.25">
      <c r="B12" s="9">
        <v>42766</v>
      </c>
      <c r="C12" s="7" t="s">
        <v>173</v>
      </c>
      <c r="D12" s="15" t="s">
        <v>2</v>
      </c>
      <c r="E12" s="11">
        <v>0.38</v>
      </c>
      <c r="F12" s="11">
        <v>0.25</v>
      </c>
      <c r="G12" s="11">
        <v>0.37</v>
      </c>
      <c r="H12" s="13">
        <f t="shared" si="0"/>
        <v>2.6315789473684212</v>
      </c>
      <c r="I12" s="13">
        <f t="shared" si="0"/>
        <v>4</v>
      </c>
      <c r="J12" s="14">
        <f t="shared" si="0"/>
        <v>2.7027027027027026</v>
      </c>
      <c r="L12" s="22">
        <v>7</v>
      </c>
      <c r="M12" s="23" t="s">
        <v>174</v>
      </c>
      <c r="N12" s="24">
        <v>3.2</v>
      </c>
      <c r="P12" s="39" t="s">
        <v>34</v>
      </c>
      <c r="Q12" s="43">
        <f>-$E$21</f>
        <v>-2.5</v>
      </c>
      <c r="R12" s="58" t="s">
        <v>2</v>
      </c>
      <c r="S12" s="46">
        <f t="shared" ref="S12" si="3">$E$22*(L12-1)*0.95</f>
        <v>5.6999999999999993</v>
      </c>
      <c r="X12" s="2">
        <f t="shared" si="2"/>
        <v>2.5</v>
      </c>
    </row>
    <row r="13" spans="2:24" x14ac:dyDescent="0.25">
      <c r="B13" s="9">
        <v>42767</v>
      </c>
      <c r="C13" s="7" t="s">
        <v>175</v>
      </c>
      <c r="D13" s="15" t="s">
        <v>2</v>
      </c>
      <c r="E13" s="11">
        <v>0.3</v>
      </c>
      <c r="F13" s="11">
        <v>0.24</v>
      </c>
      <c r="G13" s="11">
        <v>0.46</v>
      </c>
      <c r="H13" s="13">
        <f t="shared" si="0"/>
        <v>3.3333333333333335</v>
      </c>
      <c r="I13" s="13">
        <f t="shared" si="0"/>
        <v>4.166666666666667</v>
      </c>
      <c r="J13" s="14">
        <f t="shared" si="0"/>
        <v>2.1739130434782608</v>
      </c>
      <c r="L13" s="22">
        <v>10</v>
      </c>
      <c r="M13" s="23" t="s">
        <v>96</v>
      </c>
      <c r="N13" s="24">
        <v>1.61</v>
      </c>
      <c r="P13" s="43" t="s">
        <v>34</v>
      </c>
      <c r="Q13" s="43">
        <f>ROUND(-(N13-1)*$E$21,2)</f>
        <v>-1.53</v>
      </c>
      <c r="R13" s="58" t="s">
        <v>178</v>
      </c>
      <c r="S13" s="46">
        <f t="shared" si="1"/>
        <v>-1</v>
      </c>
      <c r="X13" s="2">
        <f t="shared" si="2"/>
        <v>1.53</v>
      </c>
    </row>
    <row r="14" spans="2:24" x14ac:dyDescent="0.25">
      <c r="B14" s="9">
        <v>42767</v>
      </c>
      <c r="C14" s="7" t="s">
        <v>176</v>
      </c>
      <c r="D14" s="15" t="s">
        <v>15</v>
      </c>
      <c r="E14" s="11">
        <v>0.79</v>
      </c>
      <c r="F14" s="11">
        <v>0.15</v>
      </c>
      <c r="G14" s="11">
        <v>0.06</v>
      </c>
      <c r="H14" s="13">
        <f t="shared" si="0"/>
        <v>1.2658227848101264</v>
      </c>
      <c r="I14" s="13">
        <f t="shared" si="0"/>
        <v>6.666666666666667</v>
      </c>
      <c r="J14" s="14">
        <f t="shared" si="0"/>
        <v>16.666666666666668</v>
      </c>
      <c r="L14" s="22">
        <v>6.8</v>
      </c>
      <c r="M14" s="23" t="s">
        <v>80</v>
      </c>
      <c r="N14" s="24">
        <v>1.21</v>
      </c>
      <c r="P14" s="39" t="s">
        <v>89</v>
      </c>
      <c r="Q14" s="43">
        <f>ROUND($E$21*0.95,2)</f>
        <v>2.38</v>
      </c>
      <c r="R14" s="58" t="s">
        <v>51</v>
      </c>
      <c r="S14" s="46">
        <f t="shared" si="1"/>
        <v>-1</v>
      </c>
      <c r="X14" s="2">
        <f t="shared" si="2"/>
        <v>0.53</v>
      </c>
    </row>
    <row r="15" spans="2:24" x14ac:dyDescent="0.25">
      <c r="B15" s="9">
        <v>42767</v>
      </c>
      <c r="C15" s="7" t="s">
        <v>177</v>
      </c>
      <c r="D15" s="15" t="s">
        <v>2</v>
      </c>
      <c r="E15" s="11">
        <v>0.34</v>
      </c>
      <c r="F15" s="11">
        <v>0.27</v>
      </c>
      <c r="G15" s="11">
        <v>0.39</v>
      </c>
      <c r="H15" s="13">
        <f t="shared" si="0"/>
        <v>2.9411764705882351</v>
      </c>
      <c r="I15" s="13">
        <f t="shared" si="0"/>
        <v>3.7037037037037033</v>
      </c>
      <c r="J15" s="14">
        <f t="shared" si="0"/>
        <v>2.5641025641025639</v>
      </c>
      <c r="L15" s="22">
        <v>7.4</v>
      </c>
      <c r="M15" s="23" t="s">
        <v>166</v>
      </c>
      <c r="N15" s="24"/>
      <c r="P15" s="39"/>
      <c r="Q15" s="43"/>
      <c r="R15" s="58" t="s">
        <v>2</v>
      </c>
      <c r="S15" s="46">
        <f t="shared" ref="S15" si="4">$E$22*(L15-1)*0.95</f>
        <v>6.08</v>
      </c>
      <c r="X15" s="2" t="str">
        <f t="shared" si="2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15.959999999999999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10.229999999999999</v>
      </c>
      <c r="S23" s="2"/>
    </row>
    <row r="24" spans="4:24" s="3" customFormat="1" x14ac:dyDescent="0.25">
      <c r="D24" s="4" t="s">
        <v>41</v>
      </c>
      <c r="E24" s="4">
        <f>SUM(S:S)</f>
        <v>3.7799999999999994</v>
      </c>
      <c r="S24" s="2"/>
    </row>
    <row r="28" spans="4:24" x14ac:dyDescent="0.25">
      <c r="D28" s="3" t="s">
        <v>129</v>
      </c>
      <c r="E28" s="3">
        <f>COUNTIF(Q5:Q16,"&gt;0")</f>
        <v>5</v>
      </c>
    </row>
    <row r="29" spans="4:24" x14ac:dyDescent="0.25">
      <c r="D29" s="3" t="s">
        <v>130</v>
      </c>
      <c r="E29" s="3">
        <f>COUNTIF(S5:S16,"&gt;0")</f>
        <v>2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E1" zoomScale="93" zoomScaleNormal="93" zoomScalePageLayoutView="93" workbookViewId="0">
      <selection activeCell="N11" sqref="N11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42578125" style="3" customWidth="1"/>
    <col min="4" max="4" width="30" style="3" customWidth="1"/>
    <col min="5" max="10" width="8.85546875" style="3" customWidth="1"/>
    <col min="11" max="11" width="2.42578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97" t="s">
        <v>45</v>
      </c>
      <c r="C2" s="98"/>
      <c r="D2" s="98"/>
      <c r="E2" s="98"/>
      <c r="F2" s="98"/>
      <c r="G2" s="98"/>
      <c r="H2" s="98"/>
      <c r="I2" s="98"/>
      <c r="J2" s="99"/>
      <c r="L2" s="100" t="s">
        <v>46</v>
      </c>
      <c r="M2" s="101"/>
      <c r="N2" s="102"/>
      <c r="P2" s="103" t="s">
        <v>47</v>
      </c>
      <c r="Q2" s="104"/>
      <c r="R2" s="104"/>
      <c r="S2" s="105"/>
      <c r="X2" s="2" t="s">
        <v>127</v>
      </c>
    </row>
    <row r="3" spans="2:24" s="34" customFormat="1" x14ac:dyDescent="0.25">
      <c r="B3" s="28" t="s">
        <v>3</v>
      </c>
      <c r="C3" s="80" t="s">
        <v>4</v>
      </c>
      <c r="D3" s="80" t="s">
        <v>5</v>
      </c>
      <c r="E3" s="106" t="s">
        <v>10</v>
      </c>
      <c r="F3" s="106"/>
      <c r="G3" s="106"/>
      <c r="H3" s="106" t="s">
        <v>11</v>
      </c>
      <c r="I3" s="106"/>
      <c r="J3" s="107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42707</v>
      </c>
      <c r="C6" s="7" t="s">
        <v>147</v>
      </c>
      <c r="D6" s="15" t="s">
        <v>2</v>
      </c>
      <c r="E6" s="11">
        <v>0.35</v>
      </c>
      <c r="F6" s="11">
        <v>0.28000000000000003</v>
      </c>
      <c r="G6" s="11">
        <v>0.37</v>
      </c>
      <c r="H6" s="13">
        <f t="shared" ref="H6:J15" si="0">(1/E6)</f>
        <v>2.8571428571428572</v>
      </c>
      <c r="I6" s="13">
        <f t="shared" si="0"/>
        <v>3.5714285714285712</v>
      </c>
      <c r="J6" s="14">
        <f t="shared" si="0"/>
        <v>2.7027027027027026</v>
      </c>
      <c r="L6" s="22">
        <v>7.4</v>
      </c>
      <c r="M6" s="23" t="s">
        <v>123</v>
      </c>
      <c r="N6" s="24">
        <v>3.15</v>
      </c>
      <c r="P6" s="39" t="s">
        <v>89</v>
      </c>
      <c r="Q6" s="43">
        <f>ROUND(((N6-1)*$E$21)*0.95,2)</f>
        <v>5.1100000000000003</v>
      </c>
      <c r="R6" s="59" t="s">
        <v>30</v>
      </c>
      <c r="S6" s="46">
        <f>-$E$22</f>
        <v>-1</v>
      </c>
      <c r="X6" s="2">
        <f>IF(ISBLANK(P6),"",ROUND(IF(LEFT(M6,3)="Lay",(N6-1)*$E$21,$E$21),2))</f>
        <v>2.5</v>
      </c>
    </row>
    <row r="7" spans="2:24" x14ac:dyDescent="0.25">
      <c r="B7" s="9">
        <v>42707</v>
      </c>
      <c r="C7" s="7" t="s">
        <v>148</v>
      </c>
      <c r="D7" s="15" t="s">
        <v>15</v>
      </c>
      <c r="E7" s="11">
        <v>0.74</v>
      </c>
      <c r="F7" s="11">
        <v>0.17</v>
      </c>
      <c r="G7" s="11">
        <v>0.09</v>
      </c>
      <c r="H7" s="13">
        <f t="shared" si="0"/>
        <v>1.3513513513513513</v>
      </c>
      <c r="I7" s="13">
        <f t="shared" si="0"/>
        <v>5.8823529411764701</v>
      </c>
      <c r="J7" s="14">
        <f t="shared" si="0"/>
        <v>11.111111111111111</v>
      </c>
      <c r="L7" s="22">
        <v>9.1999999999999993</v>
      </c>
      <c r="M7" s="23" t="s">
        <v>35</v>
      </c>
      <c r="N7" s="24"/>
      <c r="P7" s="39"/>
      <c r="Q7" s="43"/>
      <c r="R7" s="59" t="s">
        <v>48</v>
      </c>
      <c r="S7" s="46">
        <f t="shared" ref="S7:S15" si="1">-$E$22</f>
        <v>-1</v>
      </c>
      <c r="X7" s="2" t="str">
        <f t="shared" ref="X7:X15" si="2">IF(ISBLANK(P7),"",ROUND(IF(LEFT(M7,3)="Lay",(N7-1)*$E$21,$E$21),2))</f>
        <v/>
      </c>
    </row>
    <row r="8" spans="2:24" x14ac:dyDescent="0.25">
      <c r="B8" s="9">
        <v>42707</v>
      </c>
      <c r="C8" s="7" t="s">
        <v>149</v>
      </c>
      <c r="D8" s="10" t="s">
        <v>2</v>
      </c>
      <c r="E8" s="11">
        <v>0.32</v>
      </c>
      <c r="F8" s="11">
        <v>0.28999999999999998</v>
      </c>
      <c r="G8" s="11">
        <v>0.39</v>
      </c>
      <c r="H8" s="13">
        <f t="shared" si="0"/>
        <v>3.125</v>
      </c>
      <c r="I8" s="13">
        <f t="shared" si="0"/>
        <v>3.4482758620689657</v>
      </c>
      <c r="J8" s="14">
        <f t="shared" si="0"/>
        <v>2.5641025641025639</v>
      </c>
      <c r="L8" s="22">
        <v>7.4</v>
      </c>
      <c r="M8" s="23" t="s">
        <v>76</v>
      </c>
      <c r="N8" s="24">
        <v>3.5</v>
      </c>
      <c r="P8" s="39" t="s">
        <v>89</v>
      </c>
      <c r="Q8" s="43">
        <f>ROUND(((N8-1)*$E$21)*0.95,2)</f>
        <v>5.94</v>
      </c>
      <c r="R8" s="59" t="s">
        <v>30</v>
      </c>
      <c r="S8" s="46">
        <f t="shared" si="1"/>
        <v>-1</v>
      </c>
      <c r="X8" s="2">
        <f t="shared" si="2"/>
        <v>2.5</v>
      </c>
    </row>
    <row r="9" spans="2:24" x14ac:dyDescent="0.25">
      <c r="B9" s="9">
        <v>42707</v>
      </c>
      <c r="C9" s="7" t="s">
        <v>150</v>
      </c>
      <c r="D9" s="10" t="s">
        <v>2</v>
      </c>
      <c r="E9" s="11">
        <v>0.26</v>
      </c>
      <c r="F9" s="11">
        <v>0.27</v>
      </c>
      <c r="G9" s="11">
        <v>0.48</v>
      </c>
      <c r="H9" s="13">
        <f t="shared" si="0"/>
        <v>3.8461538461538458</v>
      </c>
      <c r="I9" s="13">
        <f t="shared" si="0"/>
        <v>3.7037037037037033</v>
      </c>
      <c r="J9" s="14">
        <f t="shared" si="0"/>
        <v>2.0833333333333335</v>
      </c>
      <c r="L9" s="22">
        <v>7.2</v>
      </c>
      <c r="M9" s="23" t="s">
        <v>23</v>
      </c>
      <c r="N9" s="24">
        <v>2.38</v>
      </c>
      <c r="P9" s="39" t="s">
        <v>34</v>
      </c>
      <c r="Q9" s="43">
        <f>-$E$21</f>
        <v>-2.5</v>
      </c>
      <c r="R9" s="58" t="s">
        <v>161</v>
      </c>
      <c r="S9" s="46">
        <f t="shared" si="1"/>
        <v>-1</v>
      </c>
      <c r="X9" s="2">
        <f t="shared" si="2"/>
        <v>2.5</v>
      </c>
    </row>
    <row r="10" spans="2:24" x14ac:dyDescent="0.25">
      <c r="B10" s="9">
        <v>42707</v>
      </c>
      <c r="C10" s="7" t="s">
        <v>151</v>
      </c>
      <c r="D10" s="10" t="s">
        <v>2</v>
      </c>
      <c r="E10" s="11">
        <v>0.45</v>
      </c>
      <c r="F10" s="11">
        <v>0.27</v>
      </c>
      <c r="G10" s="11">
        <v>0.28000000000000003</v>
      </c>
      <c r="H10" s="13">
        <f t="shared" si="0"/>
        <v>2.2222222222222223</v>
      </c>
      <c r="I10" s="13">
        <f t="shared" si="0"/>
        <v>3.7037037037037033</v>
      </c>
      <c r="J10" s="14">
        <f t="shared" si="0"/>
        <v>3.5714285714285712</v>
      </c>
      <c r="L10" s="22">
        <v>8</v>
      </c>
      <c r="M10" s="23" t="s">
        <v>35</v>
      </c>
      <c r="N10" s="24"/>
      <c r="P10" s="39"/>
      <c r="Q10" s="43"/>
      <c r="R10" s="58" t="s">
        <v>29</v>
      </c>
      <c r="S10" s="46">
        <f t="shared" si="1"/>
        <v>-1</v>
      </c>
      <c r="X10" s="2" t="str">
        <f t="shared" si="2"/>
        <v/>
      </c>
    </row>
    <row r="11" spans="2:24" x14ac:dyDescent="0.25">
      <c r="B11" s="9">
        <v>42707</v>
      </c>
      <c r="C11" s="7" t="s">
        <v>152</v>
      </c>
      <c r="D11" s="10" t="s">
        <v>2</v>
      </c>
      <c r="E11" s="11">
        <v>0.32</v>
      </c>
      <c r="F11" s="11">
        <v>0.25</v>
      </c>
      <c r="G11" s="11">
        <v>0.43</v>
      </c>
      <c r="H11" s="13">
        <f t="shared" si="0"/>
        <v>3.125</v>
      </c>
      <c r="I11" s="13">
        <f t="shared" si="0"/>
        <v>4</v>
      </c>
      <c r="J11" s="14">
        <f t="shared" si="0"/>
        <v>2.3255813953488373</v>
      </c>
      <c r="L11" s="22">
        <v>9.1999999999999993</v>
      </c>
      <c r="M11" s="23" t="s">
        <v>96</v>
      </c>
      <c r="N11" s="24">
        <v>1.74</v>
      </c>
      <c r="P11" s="39" t="s">
        <v>89</v>
      </c>
      <c r="Q11" s="43">
        <f>ROUND($E$21*0.95,2)</f>
        <v>2.38</v>
      </c>
      <c r="R11" s="58" t="s">
        <v>162</v>
      </c>
      <c r="S11" s="46">
        <f t="shared" si="1"/>
        <v>-1</v>
      </c>
      <c r="X11" s="2">
        <f t="shared" si="2"/>
        <v>1.85</v>
      </c>
    </row>
    <row r="12" spans="2:24" x14ac:dyDescent="0.25">
      <c r="B12" s="9">
        <v>42707</v>
      </c>
      <c r="C12" s="7" t="s">
        <v>153</v>
      </c>
      <c r="D12" s="15" t="s">
        <v>44</v>
      </c>
      <c r="E12" s="11">
        <v>0.69</v>
      </c>
      <c r="F12" s="11">
        <v>0.2</v>
      </c>
      <c r="G12" s="11">
        <v>0.11</v>
      </c>
      <c r="H12" s="13">
        <f t="shared" si="0"/>
        <v>1.4492753623188408</v>
      </c>
      <c r="I12" s="13">
        <f t="shared" si="0"/>
        <v>5</v>
      </c>
      <c r="J12" s="14">
        <f t="shared" si="0"/>
        <v>9.0909090909090917</v>
      </c>
      <c r="L12" s="22">
        <v>8</v>
      </c>
      <c r="M12" s="23" t="s">
        <v>13</v>
      </c>
      <c r="N12" s="24">
        <v>1.3</v>
      </c>
      <c r="P12" s="39" t="s">
        <v>34</v>
      </c>
      <c r="Q12" s="43">
        <f>ROUND(-(N12-1)*$E$21,2)</f>
        <v>-0.75</v>
      </c>
      <c r="R12" s="58" t="s">
        <v>44</v>
      </c>
      <c r="S12" s="46">
        <f>ROUND($E$22*(L12-1)*0.95,2)</f>
        <v>6.65</v>
      </c>
      <c r="X12" s="2">
        <f t="shared" si="2"/>
        <v>0.75</v>
      </c>
    </row>
    <row r="13" spans="2:24" x14ac:dyDescent="0.25">
      <c r="B13" s="9">
        <v>42708</v>
      </c>
      <c r="C13" s="7" t="s">
        <v>154</v>
      </c>
      <c r="D13" s="10" t="s">
        <v>2</v>
      </c>
      <c r="E13" s="11">
        <v>0.35</v>
      </c>
      <c r="F13" s="11">
        <v>0.3</v>
      </c>
      <c r="G13" s="11">
        <v>0.35</v>
      </c>
      <c r="H13" s="13">
        <f t="shared" si="0"/>
        <v>2.8571428571428572</v>
      </c>
      <c r="I13" s="13">
        <f t="shared" si="0"/>
        <v>3.3333333333333335</v>
      </c>
      <c r="J13" s="14">
        <f t="shared" si="0"/>
        <v>2.8571428571428572</v>
      </c>
      <c r="L13" s="22">
        <v>7.4</v>
      </c>
      <c r="M13" s="23" t="s">
        <v>80</v>
      </c>
      <c r="N13" s="24">
        <v>2.2999999999999998</v>
      </c>
      <c r="P13" s="39" t="s">
        <v>34</v>
      </c>
      <c r="Q13" s="43">
        <f>ROUND(-(N13-1)*$E$21,2)</f>
        <v>-3.25</v>
      </c>
      <c r="R13" s="58" t="s">
        <v>44</v>
      </c>
      <c r="S13" s="46">
        <f t="shared" si="1"/>
        <v>-1</v>
      </c>
      <c r="X13" s="2">
        <f t="shared" si="2"/>
        <v>3.25</v>
      </c>
    </row>
    <row r="14" spans="2:24" x14ac:dyDescent="0.25">
      <c r="B14" s="9">
        <v>42708</v>
      </c>
      <c r="C14" s="7" t="s">
        <v>155</v>
      </c>
      <c r="D14" s="15" t="s">
        <v>44</v>
      </c>
      <c r="E14" s="11">
        <v>0.46</v>
      </c>
      <c r="F14" s="11">
        <v>0.34</v>
      </c>
      <c r="G14" s="11">
        <v>0.2</v>
      </c>
      <c r="H14" s="13">
        <f t="shared" si="0"/>
        <v>2.1739130434782608</v>
      </c>
      <c r="I14" s="13">
        <f t="shared" si="0"/>
        <v>2.9411764705882351</v>
      </c>
      <c r="J14" s="14">
        <f t="shared" si="0"/>
        <v>5</v>
      </c>
      <c r="L14" s="22">
        <v>6.4</v>
      </c>
      <c r="M14" s="23" t="s">
        <v>157</v>
      </c>
      <c r="N14" s="24">
        <v>1.74</v>
      </c>
      <c r="P14" s="39" t="s">
        <v>34</v>
      </c>
      <c r="Q14" s="43">
        <f>ROUND(-(N14-1)*$E$21,2)</f>
        <v>-1.85</v>
      </c>
      <c r="R14" s="58" t="s">
        <v>44</v>
      </c>
      <c r="S14" s="46">
        <f>ROUND($E$22*(L14-1)*0.95,2)</f>
        <v>5.13</v>
      </c>
      <c r="X14" s="2">
        <f t="shared" si="2"/>
        <v>1.85</v>
      </c>
    </row>
    <row r="15" spans="2:24" x14ac:dyDescent="0.25">
      <c r="B15" s="9">
        <v>42708</v>
      </c>
      <c r="C15" s="7" t="s">
        <v>156</v>
      </c>
      <c r="D15" s="15" t="s">
        <v>19</v>
      </c>
      <c r="E15" s="11">
        <v>0.7</v>
      </c>
      <c r="F15" s="11">
        <v>0.17</v>
      </c>
      <c r="G15" s="11">
        <v>0.13</v>
      </c>
      <c r="H15" s="13">
        <f t="shared" si="0"/>
        <v>1.4285714285714286</v>
      </c>
      <c r="I15" s="13">
        <f t="shared" si="0"/>
        <v>5.8823529411764701</v>
      </c>
      <c r="J15" s="14">
        <f t="shared" si="0"/>
        <v>7.6923076923076916</v>
      </c>
      <c r="L15" s="22">
        <v>10.5</v>
      </c>
      <c r="M15" s="23" t="s">
        <v>64</v>
      </c>
      <c r="N15" s="24">
        <v>1.33</v>
      </c>
      <c r="P15" s="39" t="s">
        <v>89</v>
      </c>
      <c r="Q15" s="43">
        <f>ROUND($E$21*0.95,2)</f>
        <v>2.38</v>
      </c>
      <c r="R15" s="58" t="s">
        <v>124</v>
      </c>
      <c r="S15" s="46">
        <f t="shared" si="1"/>
        <v>-1</v>
      </c>
      <c r="X15" s="2">
        <f t="shared" si="2"/>
        <v>0.83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16.029999999999998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7.46</v>
      </c>
      <c r="S23" s="2"/>
    </row>
    <row r="24" spans="4:24" s="3" customFormat="1" x14ac:dyDescent="0.25">
      <c r="D24" s="4" t="s">
        <v>41</v>
      </c>
      <c r="E24" s="4">
        <f>SUM(S:S)</f>
        <v>3.7800000000000002</v>
      </c>
      <c r="S24" s="2"/>
    </row>
    <row r="28" spans="4:24" x14ac:dyDescent="0.25">
      <c r="D28" s="3" t="s">
        <v>129</v>
      </c>
      <c r="E28" s="3">
        <f>COUNTIF(Q5:Q16,"&gt;0")</f>
        <v>4</v>
      </c>
    </row>
    <row r="29" spans="4:24" x14ac:dyDescent="0.25">
      <c r="D29" s="3" t="s">
        <v>130</v>
      </c>
      <c r="E29" s="3">
        <f>COUNTIF(S5:S16,"&gt;0")</f>
        <v>2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21 may 2017</vt:lpstr>
      <vt:lpstr>1st to 3rd april 2017</vt:lpstr>
      <vt:lpstr>18 to 19 mar 2017</vt:lpstr>
      <vt:lpstr>04 to 05 mar 2017</vt:lpstr>
      <vt:lpstr>11 to 13 feb 2017</vt:lpstr>
      <vt:lpstr>04 to 05 feb 2017</vt:lpstr>
      <vt:lpstr>31 jan to 01 feb 17</vt:lpstr>
      <vt:lpstr>09 to 12 dec 2016</vt:lpstr>
      <vt:lpstr>03 to 05 dec 2016</vt:lpstr>
      <vt:lpstr>26 to 27 Nov 2016</vt:lpstr>
      <vt:lpstr>19 to 21 Nov 2016</vt:lpstr>
      <vt:lpstr>05 to 07 Nov 2016</vt:lpstr>
      <vt:lpstr>21 to 24 Oct 16</vt:lpstr>
      <vt:lpstr>14 to 17 Oct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Lucy Collins</cp:lastModifiedBy>
  <dcterms:created xsi:type="dcterms:W3CDTF">2016-09-17T10:51:17Z</dcterms:created>
  <dcterms:modified xsi:type="dcterms:W3CDTF">2017-05-21T17:49:34Z</dcterms:modified>
</cp:coreProperties>
</file>